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<sst xmlns="http://schemas.openxmlformats.org/spreadsheetml/2006/main" count="396" uniqueCount="166">
  <si>
    <t>2,4 группа</t>
  </si>
  <si>
    <t>№ рец.</t>
  </si>
  <si>
    <t>Прием пищи, наименование блюда</t>
  </si>
  <si>
    <t xml:space="preserve">Масса порции </t>
  </si>
  <si>
    <t>Цена</t>
  </si>
  <si>
    <t>Пищевые вещества (г)</t>
  </si>
  <si>
    <t>Энерг.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</si>
  <si>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</si>
  <si>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</si>
  <si>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</si>
  <si>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</si>
  <si>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</si>
  <si>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С</t>
  </si>
  <si>
    <t>Ca</t>
  </si>
  <si>
    <t>Fe</t>
  </si>
  <si>
    <t>сад</t>
  </si>
  <si>
    <t>ясли</t>
  </si>
  <si>
    <t xml:space="preserve">Завтрак </t>
  </si>
  <si>
    <t>510./04</t>
  </si>
  <si>
    <t>648./04</t>
  </si>
  <si>
    <t>Кисель</t>
  </si>
  <si>
    <t>200</t>
  </si>
  <si>
    <t>150</t>
  </si>
  <si>
    <t>Итого</t>
  </si>
  <si>
    <t>2 Завтрак</t>
  </si>
  <si>
    <t>707./04</t>
  </si>
  <si>
    <t>180</t>
  </si>
  <si>
    <t>Обед</t>
  </si>
  <si>
    <t>60</t>
  </si>
  <si>
    <t>75</t>
  </si>
  <si>
    <t>Хлеб "Рябинушка"</t>
  </si>
  <si>
    <t>1/20</t>
  </si>
  <si>
    <t>Хлеб "Дарницкий"</t>
  </si>
  <si>
    <t>Полдник</t>
  </si>
  <si>
    <t>697./04</t>
  </si>
  <si>
    <t xml:space="preserve">Молоко кипяченое </t>
  </si>
  <si>
    <t>Ужин</t>
  </si>
  <si>
    <t>Итого за день</t>
  </si>
  <si>
    <t>1./04</t>
  </si>
  <si>
    <t xml:space="preserve">Батон с маслом </t>
  </si>
  <si>
    <t xml:space="preserve">Кофейный напиток с молоком </t>
  </si>
  <si>
    <t xml:space="preserve">2 Завтрак </t>
  </si>
  <si>
    <t xml:space="preserve">Полдник </t>
  </si>
  <si>
    <t>698./04</t>
  </si>
  <si>
    <t>Десерт фруктовый "Яблоко"</t>
  </si>
  <si>
    <t>311./04</t>
  </si>
  <si>
    <t>ТТК-305</t>
  </si>
  <si>
    <t xml:space="preserve">Какао с молоком </t>
  </si>
  <si>
    <t>516./04</t>
  </si>
  <si>
    <t>Макароны отварные</t>
  </si>
  <si>
    <t>395/10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</si>
  <si>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</si>
  <si>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</si>
  <si>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</si>
  <si>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</si>
  <si>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 xml:space="preserve">Генеральный директор                                                                                                                     </t>
  </si>
  <si>
    <t>В.П. Гусева</t>
  </si>
  <si>
    <t xml:space="preserve">Зам. директора по производству и качеству                                                              </t>
  </si>
  <si>
    <t>Р.И. Самигулова</t>
  </si>
  <si>
    <t>130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</si>
  <si>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</si>
  <si>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</si>
  <si>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100/50</t>
  </si>
  <si>
    <t>11 группа: сады № 28, 30, 34, 40, 50, 50(ф), 51, 52, 54, 93, 103, 110</t>
  </si>
  <si>
    <t>3./04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</si>
  <si>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</si>
  <si>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</si>
  <si>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</si>
  <si>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</si>
  <si>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Кефир</t>
  </si>
  <si>
    <t>12 группа: сады № 7, 12, 14, 18, 21, 29, 31, 35, 39, 46, 97, 106, 115</t>
  </si>
  <si>
    <t>17 группа: сады № 41, 44, 53, 61, 78, 80, 83, 94, 98, 104, 111, 114</t>
  </si>
  <si>
    <t>18 группа: сады № 8, 9, 16, 27, 62, 65, 66, 82, 86, 108, 109, 118</t>
  </si>
  <si>
    <t>200/25</t>
  </si>
  <si>
    <t>150/25</t>
  </si>
  <si>
    <t>1/46,4</t>
  </si>
  <si>
    <t>1/40,6</t>
  </si>
  <si>
    <t>Каша пшеничная вязкая</t>
  </si>
  <si>
    <t>78./04</t>
  </si>
  <si>
    <t>ТТК-653</t>
  </si>
  <si>
    <t xml:space="preserve">Зразы мясные "Любимые" с сыром </t>
  </si>
  <si>
    <t xml:space="preserve">Экономист по ценам                                                                                                  </t>
  </si>
  <si>
    <t>100</t>
  </si>
  <si>
    <t>520./04</t>
  </si>
  <si>
    <t>Картофельное пюре</t>
  </si>
  <si>
    <t>50/50</t>
  </si>
  <si>
    <t>20/5</t>
  </si>
  <si>
    <t>437/04</t>
  </si>
  <si>
    <t xml:space="preserve">Гуляш из говядины </t>
  </si>
  <si>
    <t>150/30</t>
  </si>
  <si>
    <t>ТТК-475</t>
  </si>
  <si>
    <t>Чай полусладкий</t>
  </si>
  <si>
    <t>200/3</t>
  </si>
  <si>
    <t>150/3</t>
  </si>
  <si>
    <t xml:space="preserve">Капуста тушеная </t>
  </si>
  <si>
    <t>Каша гречневая вязкая</t>
  </si>
  <si>
    <t>ТТК-814</t>
  </si>
  <si>
    <t>161./04</t>
  </si>
  <si>
    <t>Булочка "Домашняя"</t>
  </si>
  <si>
    <t>30</t>
  </si>
  <si>
    <t>Напиток "Фруктовый" из сухофруктов</t>
  </si>
  <si>
    <t>534/04</t>
  </si>
  <si>
    <t>Каша молочная манная (жидкая) с маслом</t>
  </si>
  <si>
    <t>269./04</t>
  </si>
  <si>
    <t>Запеканка овощная с соусом сметанным</t>
  </si>
  <si>
    <t>110./04</t>
  </si>
  <si>
    <t>ТТК-317</t>
  </si>
  <si>
    <t>Салат "Зайка"</t>
  </si>
  <si>
    <t>ТТК-315</t>
  </si>
  <si>
    <t>Компот "Фруктовый" из изюма</t>
  </si>
  <si>
    <t>ТТК-734</t>
  </si>
  <si>
    <t xml:space="preserve">Котлеты рыбные "Морячка" </t>
  </si>
  <si>
    <t>ТТК-147</t>
  </si>
  <si>
    <t>Компот из черной смородины</t>
  </si>
  <si>
    <t>Компот "Фруктовый" из кураги</t>
  </si>
  <si>
    <t>14 группа: сады № 10, 17, 20, 26, 49, 64, 72, 73, 75, 92, 96, 105, 120</t>
  </si>
  <si>
    <t>Фатхуллина Г.А.</t>
  </si>
  <si>
    <t xml:space="preserve">Зам. начальника производственного отдела </t>
  </si>
  <si>
    <t xml:space="preserve">Ю.В. Прокофьева </t>
  </si>
  <si>
    <t>ТТК-341</t>
  </si>
  <si>
    <t>Запеканка "Сладкоежка" с соусом молочным сладким</t>
  </si>
  <si>
    <t>150/50</t>
  </si>
  <si>
    <t>Н.В. Журавлева</t>
  </si>
  <si>
    <t xml:space="preserve">Винегрет овощной </t>
  </si>
  <si>
    <t>ТТК-65</t>
  </si>
  <si>
    <t>Морковь тертая с сахаром</t>
  </si>
  <si>
    <t>Суп молочный с пшеном</t>
  </si>
  <si>
    <t>139/04</t>
  </si>
  <si>
    <t>71/04</t>
  </si>
  <si>
    <t>Батон  с сыром</t>
  </si>
  <si>
    <t>Каша рисовая вязкая</t>
  </si>
  <si>
    <t>Десерт фруктовый "Апельсин"</t>
  </si>
  <si>
    <t>Суп молочный с рисом</t>
  </si>
  <si>
    <t>142./04</t>
  </si>
  <si>
    <t xml:space="preserve">Суп картофельный с рыбными фрикадельками </t>
  </si>
  <si>
    <t>135</t>
  </si>
  <si>
    <t>ТТК-54</t>
  </si>
  <si>
    <t xml:space="preserve">Салат "Бурячок" </t>
  </si>
  <si>
    <t xml:space="preserve">НЕДЕЛЬНОЕ МЕНЮ ДЛЯ ОБЩЕРАЗВИВАЮЩИХ ДЕТСКИХ САДОВ С 19.02.18г по 22.02.18г    </t>
  </si>
  <si>
    <t>ПОНЕДЕЛЬНИК  19/02</t>
  </si>
  <si>
    <t>ВТОРНИК  20/02</t>
  </si>
  <si>
    <t>СРЕДА 21/02</t>
  </si>
  <si>
    <t>ЧЕТВЕРГ 22/02</t>
  </si>
  <si>
    <t xml:space="preserve">Суп картофельный с горохом </t>
  </si>
  <si>
    <t xml:space="preserve">Икра морковная </t>
  </si>
  <si>
    <t xml:space="preserve">Борщ из св. капусты с картоф. с мясными фрикадельками со сметаной </t>
  </si>
  <si>
    <t>200/25/ 10</t>
  </si>
  <si>
    <t>150/25/ 10</t>
  </si>
  <si>
    <t>337./04</t>
  </si>
  <si>
    <t>Яйцо вареное</t>
  </si>
  <si>
    <t>1 шт</t>
  </si>
  <si>
    <t>Молоко кипяченое с печеньем "Со вкусом топл. молока"</t>
  </si>
  <si>
    <t>138/04</t>
  </si>
  <si>
    <t>Суп картоф. с перлов. крупой с мясными фрикадельками</t>
  </si>
  <si>
    <t>330/96</t>
  </si>
  <si>
    <t xml:space="preserve">Шницель рыбный натуральный </t>
  </si>
  <si>
    <t>180/18</t>
  </si>
  <si>
    <t>ТТК-331</t>
  </si>
  <si>
    <t xml:space="preserve">Котлеты "Любимые" </t>
  </si>
  <si>
    <t>45</t>
  </si>
  <si>
    <t>ТТК-739</t>
  </si>
  <si>
    <t xml:space="preserve">Котлеты "Татарские" </t>
  </si>
  <si>
    <t>318/10</t>
  </si>
  <si>
    <t xml:space="preserve">Картофель отварной </t>
  </si>
  <si>
    <t>170</t>
  </si>
  <si>
    <t>137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</si>
</sst>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u val="single"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center" vertical="center" wrapText="1"/>
    </xf>
    <xf numFmtId="2" fontId="25" fillId="0" borderId="10" xfId="52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/>
      <protection/>
    </xf>
    <xf numFmtId="2" fontId="25" fillId="0" borderId="10" xfId="52" applyNumberFormat="1" applyFont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29" fillId="0" borderId="0" xfId="0" applyNumberFormat="1" applyFont="1" applyAlignment="1">
      <alignment horizontal="center" vertical="center"/>
    </xf>
    <xf numFmtId="0" fontId="21" fillId="0" borderId="16" xfId="0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6" xfId="52" applyNumberFormat="1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vertical="top" wrapText="1"/>
    </xf>
    <xf numFmtId="2" fontId="25" fillId="0" borderId="16" xfId="52" applyNumberFormat="1" applyFont="1" applyBorder="1" applyAlignment="1">
      <alignment horizontal="center" vertical="center"/>
      <protection/>
    </xf>
    <xf numFmtId="2" fontId="25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5" fillId="0" borderId="16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26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/>
    </xf>
    <xf numFmtId="2" fontId="25" fillId="0" borderId="17" xfId="53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2" fontId="25" fillId="0" borderId="19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32" fillId="5" borderId="10" xfId="0" applyFont="1" applyFill="1" applyBorder="1" applyAlignment="1">
      <alignment vertical="top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2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/>
    </xf>
    <xf numFmtId="2" fontId="2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2" fontId="25" fillId="0" borderId="19" xfId="52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29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2" fontId="25" fillId="0" borderId="15" xfId="52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2" fontId="25" fillId="0" borderId="2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2" fontId="25" fillId="0" borderId="13" xfId="52" applyNumberFormat="1" applyFont="1" applyFill="1" applyBorder="1" applyAlignment="1">
      <alignment horizontal="center" vertical="center"/>
      <protection/>
    </xf>
    <xf numFmtId="2" fontId="25" fillId="0" borderId="1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49" fontId="20" fillId="25" borderId="16" xfId="0" applyNumberFormat="1" applyFont="1" applyFill="1" applyBorder="1" applyAlignment="1">
      <alignment horizontal="center"/>
    </xf>
    <xf numFmtId="0" fontId="27" fillId="25" borderId="16" xfId="0" applyFont="1" applyFill="1" applyBorder="1" applyAlignment="1">
      <alignment horizontal="center" vertical="distributed"/>
    </xf>
    <xf numFmtId="49" fontId="20" fillId="25" borderId="10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3" xfId="0" applyFont="1" applyFill="1" applyBorder="1" applyAlignment="1">
      <alignment vertical="top" wrapText="1"/>
    </xf>
    <xf numFmtId="2" fontId="25" fillId="0" borderId="0" xfId="0" applyNumberFormat="1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49" fontId="21" fillId="0" borderId="23" xfId="0" applyNumberFormat="1" applyFont="1" applyFill="1" applyBorder="1" applyAlignment="1">
      <alignment vertical="top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26" borderId="16" xfId="0" applyNumberFormat="1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wrapText="1"/>
    </xf>
    <xf numFmtId="2" fontId="25" fillId="0" borderId="24" xfId="0" applyNumberFormat="1" applyFont="1" applyFill="1" applyBorder="1" applyAlignment="1">
      <alignment horizontal="center" vertical="center" wrapText="1"/>
    </xf>
    <xf numFmtId="2" fontId="25" fillId="0" borderId="10" xfId="53" applyNumberFormat="1" applyFont="1" applyBorder="1" applyAlignment="1">
      <alignment horizontal="center" vertical="center"/>
      <protection/>
    </xf>
    <xf numFmtId="2" fontId="25" fillId="26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2" fontId="25" fillId="0" borderId="17" xfId="52" applyNumberFormat="1" applyFont="1" applyBorder="1" applyAlignment="1">
      <alignment horizontal="center" vertical="center"/>
      <protection/>
    </xf>
    <xf numFmtId="0" fontId="20" fillId="27" borderId="16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143</xdr:row>
      <xdr:rowOff>76200</xdr:rowOff>
    </xdr:from>
    <xdr:to>
      <xdr:col>8</xdr:col>
      <xdr:colOff>95250</xdr:colOff>
      <xdr:row>151</xdr:row>
      <xdr:rowOff>142875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9394150"/>
          <a:ext cx="1809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147</xdr:row>
      <xdr:rowOff>19050</xdr:rowOff>
    </xdr:from>
    <xdr:to>
      <xdr:col>6</xdr:col>
      <xdr:colOff>419100</xdr:colOff>
      <xdr:row>148</xdr:row>
      <xdr:rowOff>180975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rcRect t="45860" b="30572"/>
        <a:stretch>
          <a:fillRect/>
        </a:stretch>
      </xdr:blipFill>
      <xdr:spPr>
        <a:xfrm>
          <a:off x="3952875" y="30099000"/>
          <a:ext cx="1171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</xdr:row>
      <xdr:rowOff>0</xdr:rowOff>
    </xdr:from>
    <xdr:to>
      <xdr:col>13</xdr:col>
      <xdr:colOff>514350</xdr:colOff>
      <xdr:row>4</xdr:row>
      <xdr:rowOff>57150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571500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9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6.75390625" style="1" customWidth="1"/>
    <col min="2" max="2" width="26.75390625" style="2" customWidth="1"/>
    <col min="3" max="3" width="7.25390625" style="2" customWidth="1"/>
    <col min="4" max="4" width="6.75390625" style="2" customWidth="1"/>
    <col min="5" max="5" width="7.00390625" style="3" customWidth="1"/>
    <col min="6" max="6" width="7.25390625" style="3" customWidth="1"/>
    <col min="7" max="12" width="6.75390625" style="2" customWidth="1"/>
    <col min="13" max="14" width="7.75390625" style="2" customWidth="1"/>
    <col min="15" max="18" width="5.625" style="0" hidden="1" customWidth="1"/>
    <col min="19" max="20" width="6.75390625" style="0" customWidth="1"/>
    <col min="21" max="23" width="5.625" style="0" hidden="1" customWidth="1"/>
    <col min="24" max="24" width="5.375" style="0" hidden="1" customWidth="1"/>
    <col min="25" max="25" width="6.75390625" style="0" hidden="1" customWidth="1"/>
    <col min="26" max="26" width="6.25390625" style="0" hidden="1" customWidth="1"/>
    <col min="27" max="27" width="6.875" style="0" hidden="1" customWidth="1"/>
    <col min="28" max="28" width="6.25390625" style="0" hidden="1" customWidth="1"/>
  </cols>
  <sheetData>
    <row r="1" spans="1:23" s="67" customFormat="1" ht="15" customHeight="1">
      <c r="A1" s="1"/>
      <c r="B1" s="2"/>
      <c r="C1" s="2"/>
      <c r="D1" s="2"/>
      <c r="E1" s="3"/>
      <c r="F1" s="3"/>
      <c r="G1" s="2"/>
      <c r="H1" s="4"/>
      <c r="I1" s="7"/>
      <c r="J1" s="7"/>
      <c r="K1" s="7"/>
      <c r="L1" s="8"/>
      <c r="M1" s="8" t="s">
        <v>66</v>
      </c>
      <c r="N1" s="8"/>
      <c r="O1" s="69"/>
      <c r="P1" s="4"/>
      <c r="Q1"/>
      <c r="R1" s="8"/>
      <c r="S1" s="8"/>
      <c r="T1" s="8"/>
      <c r="U1" s="8"/>
      <c r="V1" s="5"/>
      <c r="W1" s="2"/>
    </row>
    <row r="2" spans="1:22" s="67" customFormat="1" ht="15" customHeight="1">
      <c r="A2" s="6" t="s">
        <v>63</v>
      </c>
      <c r="B2" s="2"/>
      <c r="C2" s="2"/>
      <c r="D2" s="2"/>
      <c r="E2" s="3"/>
      <c r="F2" s="3"/>
      <c r="G2" s="2"/>
      <c r="H2" s="8"/>
      <c r="I2" s="8"/>
      <c r="J2" s="69"/>
      <c r="K2" s="4"/>
      <c r="L2" s="8"/>
      <c r="M2" s="8" t="s">
        <v>67</v>
      </c>
      <c r="N2" s="8"/>
      <c r="O2" s="69"/>
      <c r="P2" s="8"/>
      <c r="Q2"/>
      <c r="R2" s="8"/>
      <c r="S2" s="8"/>
      <c r="T2" s="8"/>
      <c r="U2" s="4"/>
      <c r="V2" s="8"/>
    </row>
    <row r="3" spans="1:22" s="67" customFormat="1" ht="15" customHeight="1">
      <c r="A3" s="6" t="s">
        <v>70</v>
      </c>
      <c r="B3" s="2"/>
      <c r="C3" s="2"/>
      <c r="D3" s="2"/>
      <c r="E3" s="3"/>
      <c r="F3" s="3"/>
      <c r="G3" s="2"/>
      <c r="H3" s="8"/>
      <c r="I3" s="8"/>
      <c r="J3" s="69"/>
      <c r="K3" s="8"/>
      <c r="L3" s="8"/>
      <c r="M3" s="11" t="s">
        <v>68</v>
      </c>
      <c r="N3" s="8"/>
      <c r="O3" s="69"/>
      <c r="P3" s="4"/>
      <c r="Q3"/>
      <c r="R3" s="11"/>
      <c r="S3" s="8"/>
      <c r="T3" s="8"/>
      <c r="U3" s="8"/>
      <c r="V3" s="8"/>
    </row>
    <row r="4" spans="1:22" s="67" customFormat="1" ht="15" customHeight="1">
      <c r="A4" s="6" t="s">
        <v>115</v>
      </c>
      <c r="B4" s="2"/>
      <c r="C4" s="2"/>
      <c r="D4" s="2"/>
      <c r="E4" s="3"/>
      <c r="F4" s="3"/>
      <c r="G4" s="2"/>
      <c r="H4" s="11"/>
      <c r="I4" s="8"/>
      <c r="J4" s="69"/>
      <c r="K4" s="4"/>
      <c r="L4" s="8"/>
      <c r="M4" s="152"/>
      <c r="N4" s="152"/>
      <c r="O4" s="8"/>
      <c r="P4" s="8"/>
      <c r="Q4"/>
      <c r="R4" s="8"/>
      <c r="S4" s="8" t="s">
        <v>116</v>
      </c>
      <c r="T4" s="8"/>
      <c r="U4" s="4"/>
      <c r="V4" s="8"/>
    </row>
    <row r="5" spans="1:22" s="67" customFormat="1" ht="15" customHeight="1">
      <c r="A5" s="6" t="s">
        <v>71</v>
      </c>
      <c r="B5" s="2"/>
      <c r="C5" s="2"/>
      <c r="D5" s="2"/>
      <c r="E5" s="3"/>
      <c r="F5" s="3"/>
      <c r="G5" s="2"/>
      <c r="H5" s="8"/>
      <c r="I5" s="8"/>
      <c r="J5" s="8"/>
      <c r="K5" s="8"/>
      <c r="L5" s="8"/>
      <c r="M5" s="46"/>
      <c r="N5" s="46"/>
      <c r="O5" s="70"/>
      <c r="P5" s="70"/>
      <c r="Q5" s="70"/>
      <c r="R5" s="70"/>
      <c r="S5" s="70"/>
      <c r="T5" s="70"/>
      <c r="U5" s="8"/>
      <c r="V5" s="8"/>
    </row>
    <row r="6" spans="1:20" s="67" customFormat="1" ht="15" customHeight="1">
      <c r="A6" s="6" t="s">
        <v>72</v>
      </c>
      <c r="B6" s="2"/>
      <c r="C6" s="2"/>
      <c r="D6" s="2"/>
      <c r="E6" s="3"/>
      <c r="F6" s="3"/>
      <c r="G6" s="2"/>
      <c r="H6" s="9"/>
      <c r="I6" s="10"/>
      <c r="J6" s="2"/>
      <c r="K6" s="2"/>
      <c r="L6" s="2"/>
      <c r="M6" s="46"/>
      <c r="N6" s="70"/>
      <c r="O6" s="70"/>
      <c r="P6" s="70"/>
      <c r="Q6" s="70"/>
      <c r="R6" s="70"/>
      <c r="S6" s="70"/>
      <c r="T6" s="70"/>
    </row>
    <row r="7" spans="1:17" s="67" customFormat="1" ht="15" customHeight="1">
      <c r="A7" s="1"/>
      <c r="B7" s="2"/>
      <c r="C7" s="2"/>
      <c r="D7" s="2"/>
      <c r="E7" s="3"/>
      <c r="F7" s="3"/>
      <c r="G7" s="2"/>
      <c r="H7" s="84"/>
      <c r="I7" s="84"/>
      <c r="J7" s="84"/>
      <c r="K7" s="84"/>
      <c r="L7" s="84"/>
      <c r="M7" s="84" t="s">
        <v>0</v>
      </c>
      <c r="N7" s="84"/>
      <c r="Q7" s="84"/>
    </row>
    <row r="8" spans="1:24" s="67" customFormat="1" ht="15" customHeight="1">
      <c r="A8" s="157" t="s">
        <v>138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</row>
    <row r="9" spans="1:14" s="67" customFormat="1" ht="7.5" customHeight="1">
      <c r="A9" s="1"/>
      <c r="B9" s="4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</row>
    <row r="10" spans="1:32" s="67" customFormat="1" ht="24.75" customHeight="1">
      <c r="A10" s="149" t="s">
        <v>1</v>
      </c>
      <c r="B10" s="150" t="s">
        <v>2</v>
      </c>
      <c r="C10" s="148" t="s">
        <v>3</v>
      </c>
      <c r="D10" s="148"/>
      <c r="E10" s="151" t="s">
        <v>4</v>
      </c>
      <c r="F10" s="151"/>
      <c r="G10" s="151" t="s">
        <v>5</v>
      </c>
      <c r="H10" s="151"/>
      <c r="I10" s="151"/>
      <c r="J10" s="151"/>
      <c r="K10" s="151"/>
      <c r="L10" s="151"/>
      <c r="M10" s="148" t="s">
        <v>6</v>
      </c>
      <c r="N10" s="148"/>
      <c r="O10" s="149" t="s">
        <v>7</v>
      </c>
      <c r="P10" s="149"/>
      <c r="Q10" s="149"/>
      <c r="R10" s="149"/>
      <c r="S10" s="149"/>
      <c r="T10" s="149"/>
      <c r="U10" s="153" t="s">
        <v>8</v>
      </c>
      <c r="V10" s="153"/>
      <c r="W10" s="153"/>
      <c r="X10" s="154"/>
      <c r="Y10" s="66"/>
      <c r="Z10" s="66"/>
      <c r="AA10" s="66"/>
      <c r="AB10" s="66"/>
      <c r="AC10" s="66"/>
      <c r="AD10" s="66"/>
      <c r="AE10" s="66"/>
      <c r="AF10" s="66"/>
    </row>
    <row r="11" spans="1:32" s="67" customFormat="1" ht="15" customHeight="1">
      <c r="A11" s="149"/>
      <c r="B11" s="150"/>
      <c r="C11" s="148"/>
      <c r="D11" s="148"/>
      <c r="E11" s="151"/>
      <c r="F11" s="151"/>
      <c r="G11" s="142" t="s">
        <v>9</v>
      </c>
      <c r="H11" s="142"/>
      <c r="I11" s="142" t="s">
        <v>10</v>
      </c>
      <c r="J11" s="142"/>
      <c r="K11" s="142" t="s">
        <v>11</v>
      </c>
      <c r="L11" s="142"/>
      <c r="M11" s="148"/>
      <c r="N11" s="148"/>
      <c r="O11" s="155" t="s">
        <v>65</v>
      </c>
      <c r="P11" s="155"/>
      <c r="Q11" s="155" t="s">
        <v>54</v>
      </c>
      <c r="R11" s="155"/>
      <c r="S11" s="155" t="s">
        <v>12</v>
      </c>
      <c r="T11" s="155"/>
      <c r="U11" s="155" t="s">
        <v>13</v>
      </c>
      <c r="V11" s="155"/>
      <c r="W11" s="155" t="s">
        <v>14</v>
      </c>
      <c r="X11" s="156"/>
      <c r="Y11" s="66"/>
      <c r="Z11" s="94"/>
      <c r="AA11" s="94"/>
      <c r="AB11" s="94"/>
      <c r="AC11" s="66"/>
      <c r="AD11" s="66"/>
      <c r="AE11" s="66"/>
      <c r="AF11" s="66"/>
    </row>
    <row r="12" spans="1:32" s="67" customFormat="1" ht="15" customHeight="1">
      <c r="A12" s="12" t="s">
        <v>1</v>
      </c>
      <c r="B12" s="85" t="s">
        <v>139</v>
      </c>
      <c r="C12" s="40" t="s">
        <v>15</v>
      </c>
      <c r="D12" s="40" t="s">
        <v>16</v>
      </c>
      <c r="E12" s="40" t="s">
        <v>15</v>
      </c>
      <c r="F12" s="40" t="s">
        <v>16</v>
      </c>
      <c r="G12" s="40" t="s">
        <v>15</v>
      </c>
      <c r="H12" s="40" t="s">
        <v>16</v>
      </c>
      <c r="I12" s="40" t="s">
        <v>15</v>
      </c>
      <c r="J12" s="40" t="s">
        <v>16</v>
      </c>
      <c r="K12" s="40" t="s">
        <v>15</v>
      </c>
      <c r="L12" s="40" t="s">
        <v>16</v>
      </c>
      <c r="M12" s="40" t="s">
        <v>15</v>
      </c>
      <c r="N12" s="40" t="s">
        <v>16</v>
      </c>
      <c r="O12" s="40" t="s">
        <v>15</v>
      </c>
      <c r="P12" s="40" t="s">
        <v>16</v>
      </c>
      <c r="Q12" s="40" t="s">
        <v>15</v>
      </c>
      <c r="R12" s="40" t="s">
        <v>16</v>
      </c>
      <c r="S12" s="40" t="s">
        <v>15</v>
      </c>
      <c r="T12" s="40" t="s">
        <v>16</v>
      </c>
      <c r="U12" s="40" t="s">
        <v>15</v>
      </c>
      <c r="V12" s="40" t="s">
        <v>16</v>
      </c>
      <c r="W12" s="40" t="s">
        <v>15</v>
      </c>
      <c r="X12" s="86" t="s">
        <v>16</v>
      </c>
      <c r="Y12" s="66"/>
      <c r="Z12" s="94"/>
      <c r="AA12" s="94"/>
      <c r="AB12" s="94"/>
      <c r="AC12" s="66"/>
      <c r="AD12" s="66"/>
      <c r="AE12" s="66"/>
      <c r="AF12" s="66"/>
    </row>
    <row r="13" spans="1:32" ht="15" customHeight="1">
      <c r="A13" s="12"/>
      <c r="B13" s="87" t="s">
        <v>17</v>
      </c>
      <c r="C13" s="88"/>
      <c r="D13" s="8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74"/>
      <c r="Y13" s="22"/>
      <c r="Z13" s="37"/>
      <c r="AA13" s="37"/>
      <c r="AB13" s="37"/>
      <c r="AC13" s="22"/>
      <c r="AD13" s="22"/>
      <c r="AE13" s="22"/>
      <c r="AF13" s="22"/>
    </row>
    <row r="14" spans="1:30" s="31" customFormat="1" ht="15" customHeight="1">
      <c r="A14" s="118" t="s">
        <v>38</v>
      </c>
      <c r="B14" s="58" t="s">
        <v>39</v>
      </c>
      <c r="C14" s="59" t="s">
        <v>86</v>
      </c>
      <c r="D14" s="59" t="s">
        <v>86</v>
      </c>
      <c r="E14" s="60">
        <v>4.03</v>
      </c>
      <c r="F14" s="60">
        <v>4.03</v>
      </c>
      <c r="G14" s="60">
        <v>1.63</v>
      </c>
      <c r="H14" s="61">
        <v>1.63</v>
      </c>
      <c r="I14" s="61">
        <v>4.7</v>
      </c>
      <c r="J14" s="61">
        <v>4.7</v>
      </c>
      <c r="K14" s="61">
        <v>10.4</v>
      </c>
      <c r="L14" s="61">
        <v>10.4</v>
      </c>
      <c r="M14" s="61">
        <v>90.42</v>
      </c>
      <c r="N14" s="61">
        <v>90.42</v>
      </c>
      <c r="O14" s="62">
        <v>0.08</v>
      </c>
      <c r="P14" s="68">
        <v>0.05</v>
      </c>
      <c r="Q14" s="62">
        <v>0.04</v>
      </c>
      <c r="R14" s="68">
        <v>0.02</v>
      </c>
      <c r="S14" s="62">
        <v>0</v>
      </c>
      <c r="T14" s="61">
        <f>S14*25/45</f>
        <v>0</v>
      </c>
      <c r="U14" s="64">
        <v>13.6</v>
      </c>
      <c r="V14" s="65">
        <v>8.6</v>
      </c>
      <c r="W14" s="64">
        <v>0.81</v>
      </c>
      <c r="X14" s="65">
        <v>0.49</v>
      </c>
      <c r="Y14" s="30"/>
      <c r="Z14" s="30"/>
      <c r="AA14" s="30"/>
      <c r="AB14" s="30"/>
      <c r="AC14" s="30"/>
      <c r="AD14" s="30"/>
    </row>
    <row r="15" spans="1:29" ht="15" customHeight="1">
      <c r="A15" s="118" t="s">
        <v>18</v>
      </c>
      <c r="B15" s="58" t="s">
        <v>77</v>
      </c>
      <c r="C15" s="59" t="s">
        <v>21</v>
      </c>
      <c r="D15" s="59" t="s">
        <v>22</v>
      </c>
      <c r="E15" s="60">
        <v>4.4</v>
      </c>
      <c r="F15" s="60">
        <v>3.3</v>
      </c>
      <c r="G15" s="60">
        <v>5.26</v>
      </c>
      <c r="H15" s="60">
        <v>3.95</v>
      </c>
      <c r="I15" s="60">
        <v>5.26</v>
      </c>
      <c r="J15" s="61">
        <v>3.95</v>
      </c>
      <c r="K15" s="60">
        <v>32.32</v>
      </c>
      <c r="L15" s="61">
        <v>24.24</v>
      </c>
      <c r="M15" s="60">
        <v>197.6</v>
      </c>
      <c r="N15" s="61">
        <v>148.3</v>
      </c>
      <c r="O15" s="60">
        <f>P15*200/150</f>
        <v>0.12</v>
      </c>
      <c r="P15" s="62">
        <v>0.09</v>
      </c>
      <c r="Q15" s="60">
        <f>R15*200/150</f>
        <v>0.04</v>
      </c>
      <c r="R15" s="62">
        <v>0.03</v>
      </c>
      <c r="S15" s="62">
        <v>0</v>
      </c>
      <c r="T15" s="62">
        <v>0</v>
      </c>
      <c r="U15" s="60">
        <f>V15*200/150</f>
        <v>1.5466666666666664</v>
      </c>
      <c r="V15" s="62">
        <v>1.16</v>
      </c>
      <c r="W15" s="60">
        <f>X15*200/150</f>
        <v>0.72</v>
      </c>
      <c r="X15" s="102">
        <v>0.54</v>
      </c>
      <c r="Y15" s="80"/>
      <c r="Z15" s="22"/>
      <c r="AA15" s="22"/>
      <c r="AB15" s="22"/>
      <c r="AC15" s="22"/>
    </row>
    <row r="16" spans="1:31" ht="15" customHeight="1">
      <c r="A16" s="118" t="s">
        <v>19</v>
      </c>
      <c r="B16" s="58" t="s">
        <v>20</v>
      </c>
      <c r="C16" s="59" t="s">
        <v>21</v>
      </c>
      <c r="D16" s="59" t="s">
        <v>22</v>
      </c>
      <c r="E16" s="60">
        <v>1.58</v>
      </c>
      <c r="F16" s="60">
        <v>1.18</v>
      </c>
      <c r="G16" s="62">
        <v>0</v>
      </c>
      <c r="H16" s="68">
        <v>0</v>
      </c>
      <c r="I16" s="62">
        <v>0</v>
      </c>
      <c r="J16" s="68">
        <f>I16*150/200</f>
        <v>0</v>
      </c>
      <c r="K16" s="62">
        <v>30.6</v>
      </c>
      <c r="L16" s="68">
        <f>K16*150/200</f>
        <v>22.95</v>
      </c>
      <c r="M16" s="62">
        <v>118</v>
      </c>
      <c r="N16" s="68">
        <v>88.5</v>
      </c>
      <c r="O16" s="64">
        <v>0</v>
      </c>
      <c r="P16" s="68">
        <f>O16*150/200</f>
        <v>0</v>
      </c>
      <c r="Q16" s="64">
        <v>0</v>
      </c>
      <c r="R16" s="68">
        <f>Q16*150/200</f>
        <v>0</v>
      </c>
      <c r="S16" s="64">
        <v>0</v>
      </c>
      <c r="T16" s="68">
        <f>S16*150/200</f>
        <v>0</v>
      </c>
      <c r="U16" s="64">
        <v>0.2</v>
      </c>
      <c r="V16" s="68">
        <f>U16*150/200</f>
        <v>0.15</v>
      </c>
      <c r="W16" s="64">
        <v>0.03</v>
      </c>
      <c r="X16" s="68">
        <f>W16*150/200</f>
        <v>0.0225</v>
      </c>
      <c r="Y16" s="22"/>
      <c r="Z16" s="22"/>
      <c r="AA16" s="22"/>
      <c r="AB16" s="22"/>
      <c r="AC16" s="22"/>
      <c r="AD16" s="22"/>
      <c r="AE16" s="22"/>
    </row>
    <row r="17" spans="1:32" ht="15" customHeight="1">
      <c r="A17" s="16"/>
      <c r="B17" s="17" t="s">
        <v>23</v>
      </c>
      <c r="C17" s="18"/>
      <c r="D17" s="18"/>
      <c r="E17" s="28">
        <f>SUM(E14:E16)</f>
        <v>10.01</v>
      </c>
      <c r="F17" s="28">
        <f>SUM(F14:F16)</f>
        <v>8.51</v>
      </c>
      <c r="G17" s="28">
        <f aca="true" t="shared" si="0" ref="G17:T17">SUM(G14:G16)</f>
        <v>6.89</v>
      </c>
      <c r="H17" s="28">
        <f t="shared" si="0"/>
        <v>5.58</v>
      </c>
      <c r="I17" s="28">
        <f t="shared" si="0"/>
        <v>9.96</v>
      </c>
      <c r="J17" s="28">
        <f t="shared" si="0"/>
        <v>8.65</v>
      </c>
      <c r="K17" s="28">
        <f t="shared" si="0"/>
        <v>73.32</v>
      </c>
      <c r="L17" s="28">
        <f t="shared" si="0"/>
        <v>57.59</v>
      </c>
      <c r="M17" s="28">
        <f t="shared" si="0"/>
        <v>406.02</v>
      </c>
      <c r="N17" s="28">
        <f t="shared" si="0"/>
        <v>327.22</v>
      </c>
      <c r="O17" s="28">
        <f t="shared" si="0"/>
        <v>0.2</v>
      </c>
      <c r="P17" s="28">
        <f t="shared" si="0"/>
        <v>0.14</v>
      </c>
      <c r="Q17" s="28">
        <f t="shared" si="0"/>
        <v>0.08</v>
      </c>
      <c r="R17" s="28">
        <f t="shared" si="0"/>
        <v>0.05</v>
      </c>
      <c r="S17" s="28">
        <f t="shared" si="0"/>
        <v>0</v>
      </c>
      <c r="T17" s="28">
        <f t="shared" si="0"/>
        <v>0</v>
      </c>
      <c r="U17" s="28">
        <f>SUM(U14:U16)</f>
        <v>15.346666666666666</v>
      </c>
      <c r="V17" s="28">
        <f>SUM(V14:V16)</f>
        <v>9.91</v>
      </c>
      <c r="W17" s="28">
        <f>SUM(W14:W16)</f>
        <v>1.56</v>
      </c>
      <c r="X17" s="76">
        <f>SUM(X14:X16)</f>
        <v>1.0525</v>
      </c>
      <c r="Y17" s="73"/>
      <c r="Z17" s="73"/>
      <c r="AA17" s="73"/>
      <c r="AB17" s="73"/>
      <c r="AC17" s="73"/>
      <c r="AD17" s="73"/>
      <c r="AE17" s="73"/>
      <c r="AF17" s="22"/>
    </row>
    <row r="18" spans="1:32" ht="15" customHeight="1">
      <c r="A18" s="16"/>
      <c r="B18" s="87" t="s">
        <v>24</v>
      </c>
      <c r="C18" s="18"/>
      <c r="D18" s="18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9"/>
      <c r="P18" s="29"/>
      <c r="Q18" s="29"/>
      <c r="R18" s="29"/>
      <c r="S18" s="29"/>
      <c r="T18" s="29"/>
      <c r="U18" s="29"/>
      <c r="V18" s="29"/>
      <c r="W18" s="29"/>
      <c r="X18" s="77"/>
      <c r="Y18" s="22"/>
      <c r="Z18" s="37"/>
      <c r="AA18" s="37"/>
      <c r="AB18" s="37"/>
      <c r="AC18" s="22"/>
      <c r="AD18" s="22"/>
      <c r="AE18" s="22"/>
      <c r="AF18" s="22"/>
    </row>
    <row r="19" spans="1:31" s="32" customFormat="1" ht="15" customHeight="1">
      <c r="A19" s="119" t="s">
        <v>25</v>
      </c>
      <c r="B19" s="17" t="s">
        <v>61</v>
      </c>
      <c r="C19" s="18" t="s">
        <v>21</v>
      </c>
      <c r="D19" s="18" t="s">
        <v>21</v>
      </c>
      <c r="E19" s="19">
        <v>5.4</v>
      </c>
      <c r="F19" s="19">
        <v>5.4</v>
      </c>
      <c r="G19" s="25">
        <v>0</v>
      </c>
      <c r="H19" s="26">
        <v>0</v>
      </c>
      <c r="I19" s="25">
        <f>J19*180/150</f>
        <v>0</v>
      </c>
      <c r="J19" s="26">
        <v>0</v>
      </c>
      <c r="K19" s="25">
        <v>12</v>
      </c>
      <c r="L19" s="26">
        <v>12</v>
      </c>
      <c r="M19" s="25">
        <v>48</v>
      </c>
      <c r="N19" s="26">
        <v>48</v>
      </c>
      <c r="O19" s="25">
        <f>P19*180/150</f>
        <v>0</v>
      </c>
      <c r="P19" s="26">
        <v>0</v>
      </c>
      <c r="Q19" s="25">
        <f>R19*180/150</f>
        <v>0.024</v>
      </c>
      <c r="R19" s="26">
        <v>0.02</v>
      </c>
      <c r="S19" s="25">
        <v>4</v>
      </c>
      <c r="T19" s="26">
        <v>4</v>
      </c>
      <c r="U19" s="25">
        <f>V19*180/150</f>
        <v>9.996</v>
      </c>
      <c r="V19" s="26">
        <v>8.33</v>
      </c>
      <c r="W19" s="25">
        <f>X19*180/150</f>
        <v>0.252</v>
      </c>
      <c r="X19" s="78">
        <v>0.21</v>
      </c>
      <c r="Y19" s="37"/>
      <c r="Z19" s="37"/>
      <c r="AA19" s="37"/>
      <c r="AB19" s="37"/>
      <c r="AC19" s="37"/>
      <c r="AD19" s="37"/>
      <c r="AE19" s="37"/>
    </row>
    <row r="20" spans="1:32" ht="15" customHeight="1">
      <c r="A20" s="16"/>
      <c r="B20" s="17" t="s">
        <v>23</v>
      </c>
      <c r="C20" s="18"/>
      <c r="D20" s="18"/>
      <c r="E20" s="28">
        <f>SUM(E19)</f>
        <v>5.4</v>
      </c>
      <c r="F20" s="28">
        <f>SUM(F19)</f>
        <v>5.4</v>
      </c>
      <c r="G20" s="28">
        <f aca="true" t="shared" si="1" ref="G20:T20">SUM(G19)</f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12</v>
      </c>
      <c r="L20" s="28">
        <f t="shared" si="1"/>
        <v>12</v>
      </c>
      <c r="M20" s="28">
        <f t="shared" si="1"/>
        <v>48</v>
      </c>
      <c r="N20" s="28">
        <f t="shared" si="1"/>
        <v>48</v>
      </c>
      <c r="O20" s="28">
        <f t="shared" si="1"/>
        <v>0</v>
      </c>
      <c r="P20" s="28">
        <f t="shared" si="1"/>
        <v>0</v>
      </c>
      <c r="Q20" s="28">
        <f t="shared" si="1"/>
        <v>0.024</v>
      </c>
      <c r="R20" s="28">
        <f t="shared" si="1"/>
        <v>0.02</v>
      </c>
      <c r="S20" s="28">
        <f t="shared" si="1"/>
        <v>4</v>
      </c>
      <c r="T20" s="28">
        <f t="shared" si="1"/>
        <v>4</v>
      </c>
      <c r="U20" s="28">
        <f aca="true" t="shared" si="2" ref="U20:AB20">SUM(U19)</f>
        <v>9.996</v>
      </c>
      <c r="V20" s="28">
        <f t="shared" si="2"/>
        <v>8.33</v>
      </c>
      <c r="W20" s="28">
        <f t="shared" si="2"/>
        <v>0.252</v>
      </c>
      <c r="X20" s="28">
        <f t="shared" si="2"/>
        <v>0.21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73"/>
      <c r="AD20" s="22"/>
      <c r="AE20" s="22"/>
      <c r="AF20" s="22"/>
    </row>
    <row r="21" spans="1:32" ht="15" customHeight="1">
      <c r="A21" s="16"/>
      <c r="B21" s="87" t="s">
        <v>27</v>
      </c>
      <c r="C21" s="18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9"/>
      <c r="P21" s="29"/>
      <c r="Q21" s="29"/>
      <c r="R21" s="29"/>
      <c r="S21" s="29"/>
      <c r="T21" s="29"/>
      <c r="U21" s="29"/>
      <c r="V21" s="29"/>
      <c r="W21" s="29"/>
      <c r="X21" s="77"/>
      <c r="Y21" s="22"/>
      <c r="Z21" s="37"/>
      <c r="AA21" s="37"/>
      <c r="AB21" s="37"/>
      <c r="AC21" s="22"/>
      <c r="AD21" s="22"/>
      <c r="AE21" s="22"/>
      <c r="AF21" s="22"/>
    </row>
    <row r="22" spans="1:24" ht="15.75" customHeight="1">
      <c r="A22" s="118" t="s">
        <v>128</v>
      </c>
      <c r="B22" s="58" t="s">
        <v>123</v>
      </c>
      <c r="C22" s="59" t="s">
        <v>28</v>
      </c>
      <c r="D22" s="59" t="s">
        <v>159</v>
      </c>
      <c r="E22" s="60">
        <v>3.05</v>
      </c>
      <c r="F22" s="60">
        <v>2.29</v>
      </c>
      <c r="G22" s="60">
        <f>H22*60/45</f>
        <v>0.84</v>
      </c>
      <c r="H22" s="61">
        <v>0.63</v>
      </c>
      <c r="I22" s="60">
        <f>J22*60/45</f>
        <v>6.066666666666666</v>
      </c>
      <c r="J22" s="61">
        <v>4.55</v>
      </c>
      <c r="K22" s="60">
        <f>L22*60/45</f>
        <v>4.08</v>
      </c>
      <c r="L22" s="61">
        <v>3.06</v>
      </c>
      <c r="M22" s="60">
        <f>N22*60/45</f>
        <v>74</v>
      </c>
      <c r="N22" s="61">
        <v>55.5</v>
      </c>
      <c r="O22" s="62">
        <v>0.04</v>
      </c>
      <c r="P22" s="68">
        <v>0.03</v>
      </c>
      <c r="Q22" s="62">
        <v>0.02</v>
      </c>
      <c r="R22" s="68">
        <v>0.02</v>
      </c>
      <c r="S22" s="60">
        <f>T22*60/45</f>
        <v>9.719999999999999</v>
      </c>
      <c r="T22" s="61">
        <v>7.29</v>
      </c>
      <c r="U22" s="62">
        <v>13.18</v>
      </c>
      <c r="V22" s="68">
        <v>9.89</v>
      </c>
      <c r="W22" s="62">
        <v>0.62</v>
      </c>
      <c r="X22" s="68">
        <v>0.47</v>
      </c>
    </row>
    <row r="23" spans="1:31" s="31" customFormat="1" ht="23.25" customHeight="1">
      <c r="A23" s="118" t="s">
        <v>127</v>
      </c>
      <c r="B23" s="63" t="s">
        <v>143</v>
      </c>
      <c r="C23" s="59" t="s">
        <v>21</v>
      </c>
      <c r="D23" s="59" t="s">
        <v>22</v>
      </c>
      <c r="E23" s="60">
        <v>3.65</v>
      </c>
      <c r="F23" s="60">
        <v>2.74</v>
      </c>
      <c r="G23" s="62">
        <v>4.96</v>
      </c>
      <c r="H23" s="62">
        <v>3.72</v>
      </c>
      <c r="I23" s="62">
        <v>4.48</v>
      </c>
      <c r="J23" s="62">
        <v>3.36</v>
      </c>
      <c r="K23" s="62">
        <v>17.84</v>
      </c>
      <c r="L23" s="62">
        <v>13.38</v>
      </c>
      <c r="M23" s="62">
        <v>131.52</v>
      </c>
      <c r="N23" s="62">
        <v>98.64</v>
      </c>
      <c r="O23" s="61">
        <v>0.12</v>
      </c>
      <c r="P23" s="61">
        <v>0.11</v>
      </c>
      <c r="Q23" s="61">
        <v>0.1</v>
      </c>
      <c r="R23" s="61">
        <v>0.11</v>
      </c>
      <c r="S23" s="61">
        <v>4.6</v>
      </c>
      <c r="T23" s="62">
        <v>3.45</v>
      </c>
      <c r="U23" s="29">
        <v>42.44</v>
      </c>
      <c r="V23" s="29">
        <v>30.79</v>
      </c>
      <c r="W23" s="29">
        <v>1.67</v>
      </c>
      <c r="X23" s="77">
        <v>1.45</v>
      </c>
      <c r="Y23" s="30"/>
      <c r="Z23" s="30"/>
      <c r="AA23" s="30"/>
      <c r="AB23" s="30"/>
      <c r="AC23" s="30"/>
      <c r="AD23" s="30"/>
      <c r="AE23" s="30"/>
    </row>
    <row r="24" spans="1:31" s="36" customFormat="1" ht="24" customHeight="1">
      <c r="A24" s="119" t="s">
        <v>79</v>
      </c>
      <c r="B24" s="23" t="s">
        <v>80</v>
      </c>
      <c r="C24" s="18" t="s">
        <v>28</v>
      </c>
      <c r="D24" s="18" t="s">
        <v>28</v>
      </c>
      <c r="E24" s="19">
        <v>16.34</v>
      </c>
      <c r="F24" s="19">
        <v>16.34</v>
      </c>
      <c r="G24" s="19">
        <v>6.6</v>
      </c>
      <c r="H24" s="19">
        <v>6.6</v>
      </c>
      <c r="I24" s="19">
        <v>9</v>
      </c>
      <c r="J24" s="20">
        <v>9</v>
      </c>
      <c r="K24" s="20">
        <v>1.8</v>
      </c>
      <c r="L24" s="20">
        <v>1.8</v>
      </c>
      <c r="M24" s="20">
        <v>115</v>
      </c>
      <c r="N24" s="20">
        <v>115</v>
      </c>
      <c r="O24" s="29">
        <v>0.05</v>
      </c>
      <c r="P24" s="29">
        <v>0.05</v>
      </c>
      <c r="Q24" s="126">
        <v>0.08</v>
      </c>
      <c r="R24" s="126">
        <v>0.08</v>
      </c>
      <c r="S24" s="126">
        <v>0.35</v>
      </c>
      <c r="T24" s="126">
        <v>0.35</v>
      </c>
      <c r="U24" s="126">
        <v>77.36</v>
      </c>
      <c r="V24" s="126">
        <v>77.36</v>
      </c>
      <c r="W24" s="126">
        <v>1.17</v>
      </c>
      <c r="X24" s="127">
        <v>1.17</v>
      </c>
      <c r="Y24" s="103"/>
      <c r="Z24" s="101"/>
      <c r="AA24" s="101"/>
      <c r="AB24" s="101"/>
      <c r="AC24" s="101"/>
      <c r="AD24" s="101"/>
      <c r="AE24" s="101"/>
    </row>
    <row r="25" spans="1:29" ht="15.75" customHeight="1">
      <c r="A25" s="118" t="s">
        <v>18</v>
      </c>
      <c r="B25" s="63" t="s">
        <v>130</v>
      </c>
      <c r="C25" s="59" t="s">
        <v>59</v>
      </c>
      <c r="D25" s="59" t="s">
        <v>82</v>
      </c>
      <c r="E25" s="60">
        <v>3.62</v>
      </c>
      <c r="F25" s="60">
        <v>2.78</v>
      </c>
      <c r="G25" s="60">
        <v>1.95</v>
      </c>
      <c r="H25" s="60">
        <f>G25*100/130</f>
        <v>1.5</v>
      </c>
      <c r="I25" s="60">
        <v>5.07</v>
      </c>
      <c r="J25" s="60">
        <f>I25*100/130</f>
        <v>3.9</v>
      </c>
      <c r="K25" s="60">
        <v>19.89</v>
      </c>
      <c r="L25" s="60">
        <f>K25*100/130</f>
        <v>15.3</v>
      </c>
      <c r="M25" s="60">
        <v>132.99</v>
      </c>
      <c r="N25" s="60">
        <f>M25*100/130</f>
        <v>102.3</v>
      </c>
      <c r="O25" s="60">
        <f>P25*1.3</f>
        <v>0.24700000000000003</v>
      </c>
      <c r="P25" s="61">
        <v>0.19</v>
      </c>
      <c r="Q25" s="60">
        <f>R25*1.3</f>
        <v>0.052000000000000005</v>
      </c>
      <c r="R25" s="61">
        <v>0.04</v>
      </c>
      <c r="S25" s="60">
        <f>T25*150/100</f>
        <v>0</v>
      </c>
      <c r="T25" s="61">
        <v>0</v>
      </c>
      <c r="U25" s="60">
        <f>V25*1.3</f>
        <v>31.628999999999998</v>
      </c>
      <c r="V25" s="61">
        <v>24.33</v>
      </c>
      <c r="W25" s="60">
        <f>X25*1.3</f>
        <v>1.222</v>
      </c>
      <c r="X25" s="61">
        <v>0.94</v>
      </c>
      <c r="Z25" s="37"/>
      <c r="AA25" s="37"/>
      <c r="AB25" s="37"/>
      <c r="AC25" s="22"/>
    </row>
    <row r="26" spans="1:31" ht="27" customHeight="1">
      <c r="A26" s="121" t="s">
        <v>106</v>
      </c>
      <c r="B26" s="38" t="s">
        <v>100</v>
      </c>
      <c r="C26" s="24">
        <v>200</v>
      </c>
      <c r="D26" s="24">
        <v>150</v>
      </c>
      <c r="E26" s="19">
        <v>1.49</v>
      </c>
      <c r="F26" s="19">
        <v>1.12</v>
      </c>
      <c r="G26" s="19">
        <v>0.6</v>
      </c>
      <c r="H26" s="20">
        <f>G26*150/200</f>
        <v>0.45</v>
      </c>
      <c r="I26" s="19">
        <v>0</v>
      </c>
      <c r="J26" s="20">
        <f>I26*150/200</f>
        <v>0</v>
      </c>
      <c r="K26" s="19">
        <v>31.4</v>
      </c>
      <c r="L26" s="20">
        <f>K26*150/200</f>
        <v>23.55</v>
      </c>
      <c r="M26" s="19">
        <v>124</v>
      </c>
      <c r="N26" s="20">
        <f>M26*150/200</f>
        <v>93</v>
      </c>
      <c r="O26" s="20">
        <v>0.02</v>
      </c>
      <c r="P26" s="20">
        <f>O26*150/200</f>
        <v>0.015</v>
      </c>
      <c r="Q26" s="20">
        <v>0.03</v>
      </c>
      <c r="R26" s="20">
        <f>Q26*150/200</f>
        <v>0.0225</v>
      </c>
      <c r="S26" s="20">
        <v>0.45</v>
      </c>
      <c r="T26" s="20">
        <f>S26*150/200</f>
        <v>0.3375</v>
      </c>
      <c r="U26" s="20">
        <v>12.3</v>
      </c>
      <c r="V26" s="20">
        <f>U26*150/200</f>
        <v>9.225</v>
      </c>
      <c r="W26" s="39">
        <v>2</v>
      </c>
      <c r="X26" s="75">
        <f>W26*150/200</f>
        <v>1.5</v>
      </c>
      <c r="Y26" s="22"/>
      <c r="Z26" s="22"/>
      <c r="AA26" s="22"/>
      <c r="AB26" s="22"/>
      <c r="AC26" s="22"/>
      <c r="AD26" s="22"/>
      <c r="AE26" s="22"/>
    </row>
    <row r="27" spans="1:31" s="67" customFormat="1" ht="15" customHeight="1">
      <c r="A27" s="118"/>
      <c r="B27" s="58" t="s">
        <v>30</v>
      </c>
      <c r="C27" s="59" t="s">
        <v>31</v>
      </c>
      <c r="D27" s="59" t="s">
        <v>31</v>
      </c>
      <c r="E27" s="60">
        <v>1.11</v>
      </c>
      <c r="F27" s="60">
        <v>1.11</v>
      </c>
      <c r="G27" s="60">
        <v>1.6</v>
      </c>
      <c r="H27" s="60">
        <v>1.6</v>
      </c>
      <c r="I27" s="60">
        <v>0.4</v>
      </c>
      <c r="J27" s="60">
        <v>0.4</v>
      </c>
      <c r="K27" s="60">
        <v>10</v>
      </c>
      <c r="L27" s="60">
        <v>10</v>
      </c>
      <c r="M27" s="61">
        <v>54</v>
      </c>
      <c r="N27" s="61">
        <v>54</v>
      </c>
      <c r="O27" s="64">
        <v>0.04</v>
      </c>
      <c r="P27" s="65">
        <v>0.04</v>
      </c>
      <c r="Q27" s="64">
        <v>0.02</v>
      </c>
      <c r="R27" s="65">
        <v>0.02</v>
      </c>
      <c r="S27" s="64">
        <v>0</v>
      </c>
      <c r="T27" s="65">
        <v>0</v>
      </c>
      <c r="U27" s="64">
        <v>7.4</v>
      </c>
      <c r="V27" s="65">
        <v>7.4</v>
      </c>
      <c r="W27" s="64">
        <v>0.56</v>
      </c>
      <c r="X27" s="65">
        <v>0.56</v>
      </c>
      <c r="Y27" s="66"/>
      <c r="Z27" s="66"/>
      <c r="AA27" s="66"/>
      <c r="AB27" s="66"/>
      <c r="AC27" s="66"/>
      <c r="AD27" s="66"/>
      <c r="AE27" s="66"/>
    </row>
    <row r="28" spans="1:31" ht="15" customHeight="1">
      <c r="A28" s="118"/>
      <c r="B28" s="58" t="s">
        <v>32</v>
      </c>
      <c r="C28" s="59" t="s">
        <v>75</v>
      </c>
      <c r="D28" s="59" t="s">
        <v>76</v>
      </c>
      <c r="E28" s="60">
        <v>2.09</v>
      </c>
      <c r="F28" s="60">
        <v>1.83</v>
      </c>
      <c r="G28" s="60">
        <v>3.25</v>
      </c>
      <c r="H28" s="61">
        <v>2.84</v>
      </c>
      <c r="I28" s="61">
        <v>0.46</v>
      </c>
      <c r="J28" s="61">
        <f>I28*40.6/46</f>
        <v>0.406</v>
      </c>
      <c r="K28" s="61">
        <v>20.88</v>
      </c>
      <c r="L28" s="61">
        <v>18.27</v>
      </c>
      <c r="M28" s="61">
        <v>102.08</v>
      </c>
      <c r="N28" s="61">
        <v>89.32</v>
      </c>
      <c r="O28" s="62">
        <v>0.06</v>
      </c>
      <c r="P28" s="68">
        <v>0.04</v>
      </c>
      <c r="Q28" s="62">
        <v>0.04</v>
      </c>
      <c r="R28" s="68">
        <v>0.03</v>
      </c>
      <c r="S28" s="62">
        <v>0</v>
      </c>
      <c r="T28" s="61">
        <f>S28*40.6/46</f>
        <v>0</v>
      </c>
      <c r="U28" s="64">
        <v>17</v>
      </c>
      <c r="V28" s="65">
        <v>13.6</v>
      </c>
      <c r="W28" s="64">
        <v>1.15</v>
      </c>
      <c r="X28" s="65">
        <v>0.92</v>
      </c>
      <c r="Y28" s="22"/>
      <c r="Z28" s="22"/>
      <c r="AA28" s="22"/>
      <c r="AB28" s="22"/>
      <c r="AC28" s="22"/>
      <c r="AD28" s="22"/>
      <c r="AE28" s="22"/>
    </row>
    <row r="29" spans="1:32" ht="15" customHeight="1">
      <c r="A29" s="16"/>
      <c r="B29" s="17" t="s">
        <v>23</v>
      </c>
      <c r="C29" s="18"/>
      <c r="D29" s="18"/>
      <c r="E29" s="28">
        <f>SUM(E22:E28)</f>
        <v>31.349999999999998</v>
      </c>
      <c r="F29" s="28">
        <f>SUM(F22:F28)</f>
        <v>28.21</v>
      </c>
      <c r="G29" s="28">
        <f>SUM(G22:G28)-2</f>
        <v>17.799999999999997</v>
      </c>
      <c r="H29" s="28">
        <f>SUM(H22:H28)-2</f>
        <v>15.339999999999996</v>
      </c>
      <c r="I29" s="28">
        <f aca="true" t="shared" si="3" ref="I29:T29">SUM(I22:I28)</f>
        <v>25.476666666666667</v>
      </c>
      <c r="J29" s="28">
        <f t="shared" si="3"/>
        <v>21.615999999999996</v>
      </c>
      <c r="K29" s="28">
        <f>SUM(K22:K28)+8</f>
        <v>113.88999999999999</v>
      </c>
      <c r="L29" s="28">
        <f>SUM(L22:L28)+0</f>
        <v>85.36</v>
      </c>
      <c r="M29" s="28">
        <f>SUM(M22:M28)-0</f>
        <v>733.59</v>
      </c>
      <c r="N29" s="28">
        <f>SUM(N22:N28)-23</f>
        <v>584.76</v>
      </c>
      <c r="O29" s="28">
        <f t="shared" si="3"/>
        <v>0.5770000000000002</v>
      </c>
      <c r="P29" s="28">
        <f t="shared" si="3"/>
        <v>0.475</v>
      </c>
      <c r="Q29" s="28">
        <f t="shared" si="3"/>
        <v>0.342</v>
      </c>
      <c r="R29" s="28">
        <f t="shared" si="3"/>
        <v>0.3225</v>
      </c>
      <c r="S29" s="28">
        <f t="shared" si="3"/>
        <v>15.119999999999997</v>
      </c>
      <c r="T29" s="28">
        <f t="shared" si="3"/>
        <v>11.4275</v>
      </c>
      <c r="U29" s="28">
        <f aca="true" t="shared" si="4" ref="U29:AB29">SUM(U22:U28)</f>
        <v>201.309</v>
      </c>
      <c r="V29" s="28">
        <f t="shared" si="4"/>
        <v>172.595</v>
      </c>
      <c r="W29" s="28">
        <f t="shared" si="4"/>
        <v>8.392000000000001</v>
      </c>
      <c r="X29" s="28">
        <f t="shared" si="4"/>
        <v>7.01</v>
      </c>
      <c r="Y29" s="28">
        <f t="shared" si="4"/>
        <v>0</v>
      </c>
      <c r="Z29" s="28">
        <f t="shared" si="4"/>
        <v>0</v>
      </c>
      <c r="AA29" s="28">
        <f t="shared" si="4"/>
        <v>0</v>
      </c>
      <c r="AB29" s="28">
        <f t="shared" si="4"/>
        <v>0</v>
      </c>
      <c r="AC29" s="73"/>
      <c r="AD29" s="22"/>
      <c r="AE29" s="22"/>
      <c r="AF29" s="22"/>
    </row>
    <row r="30" spans="1:32" ht="15" customHeight="1">
      <c r="A30" s="16"/>
      <c r="B30" s="87" t="s">
        <v>33</v>
      </c>
      <c r="C30" s="18"/>
      <c r="D30" s="18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9"/>
      <c r="P30" s="29"/>
      <c r="Q30" s="29"/>
      <c r="R30" s="29"/>
      <c r="S30" s="29"/>
      <c r="T30" s="29"/>
      <c r="U30" s="29"/>
      <c r="V30" s="29"/>
      <c r="W30" s="29"/>
      <c r="X30" s="77"/>
      <c r="Y30" s="22"/>
      <c r="Z30" s="37"/>
      <c r="AA30" s="37"/>
      <c r="AB30" s="37"/>
      <c r="AC30" s="22"/>
      <c r="AD30" s="22"/>
      <c r="AE30" s="22"/>
      <c r="AF30" s="22"/>
    </row>
    <row r="31" spans="1:31" ht="15" customHeight="1">
      <c r="A31" s="118" t="s">
        <v>34</v>
      </c>
      <c r="B31" s="58" t="s">
        <v>35</v>
      </c>
      <c r="C31" s="59" t="s">
        <v>26</v>
      </c>
      <c r="D31" s="59" t="s">
        <v>26</v>
      </c>
      <c r="E31" s="60">
        <v>10.36</v>
      </c>
      <c r="F31" s="60">
        <v>10.36</v>
      </c>
      <c r="G31" s="60">
        <v>5.31</v>
      </c>
      <c r="H31" s="61">
        <v>5.31</v>
      </c>
      <c r="I31" s="60">
        <v>4.5</v>
      </c>
      <c r="J31" s="61">
        <v>4.5</v>
      </c>
      <c r="K31" s="60">
        <v>8.91</v>
      </c>
      <c r="L31" s="61">
        <v>8.91</v>
      </c>
      <c r="M31" s="60">
        <v>97.38</v>
      </c>
      <c r="N31" s="61">
        <v>97.38</v>
      </c>
      <c r="O31" s="60">
        <v>0.07</v>
      </c>
      <c r="P31" s="61">
        <v>0.07</v>
      </c>
      <c r="Q31" s="60">
        <v>0.3</v>
      </c>
      <c r="R31" s="61">
        <v>0.3</v>
      </c>
      <c r="S31" s="60">
        <v>2.46</v>
      </c>
      <c r="T31" s="61">
        <v>2.46</v>
      </c>
      <c r="U31" s="60">
        <v>275.74</v>
      </c>
      <c r="V31" s="61">
        <v>275.74</v>
      </c>
      <c r="W31" s="60">
        <v>0.23</v>
      </c>
      <c r="X31" s="61">
        <v>0.23</v>
      </c>
      <c r="Y31" s="37"/>
      <c r="Z31" s="37"/>
      <c r="AA31" s="37"/>
      <c r="AB31" s="37"/>
      <c r="AC31" s="37"/>
      <c r="AD31" s="37"/>
      <c r="AE31" s="22"/>
    </row>
    <row r="32" spans="1:29" s="72" customFormat="1" ht="15" customHeight="1">
      <c r="A32" s="16"/>
      <c r="B32" s="17" t="s">
        <v>23</v>
      </c>
      <c r="C32" s="18"/>
      <c r="D32" s="18"/>
      <c r="E32" s="28">
        <f>SUM(E31)</f>
        <v>10.36</v>
      </c>
      <c r="F32" s="28">
        <f>SUM(F31)</f>
        <v>10.36</v>
      </c>
      <c r="G32" s="28">
        <f aca="true" t="shared" si="5" ref="G32:T32">SUM(G31)</f>
        <v>5.31</v>
      </c>
      <c r="H32" s="28">
        <f t="shared" si="5"/>
        <v>5.31</v>
      </c>
      <c r="I32" s="28">
        <f t="shared" si="5"/>
        <v>4.5</v>
      </c>
      <c r="J32" s="28">
        <f t="shared" si="5"/>
        <v>4.5</v>
      </c>
      <c r="K32" s="28">
        <f t="shared" si="5"/>
        <v>8.91</v>
      </c>
      <c r="L32" s="28">
        <f t="shared" si="5"/>
        <v>8.91</v>
      </c>
      <c r="M32" s="28">
        <f t="shared" si="5"/>
        <v>97.38</v>
      </c>
      <c r="N32" s="28">
        <f t="shared" si="5"/>
        <v>97.38</v>
      </c>
      <c r="O32" s="28">
        <f t="shared" si="5"/>
        <v>0.07</v>
      </c>
      <c r="P32" s="28">
        <f t="shared" si="5"/>
        <v>0.07</v>
      </c>
      <c r="Q32" s="28">
        <f t="shared" si="5"/>
        <v>0.3</v>
      </c>
      <c r="R32" s="28">
        <f t="shared" si="5"/>
        <v>0.3</v>
      </c>
      <c r="S32" s="28">
        <f t="shared" si="5"/>
        <v>2.46</v>
      </c>
      <c r="T32" s="28">
        <f t="shared" si="5"/>
        <v>2.46</v>
      </c>
      <c r="U32" s="28" t="e">
        <f>SUM(#REF!)</f>
        <v>#REF!</v>
      </c>
      <c r="V32" s="28" t="e">
        <f>SUM(#REF!)</f>
        <v>#REF!</v>
      </c>
      <c r="W32" s="28" t="e">
        <f>SUM(#REF!)</f>
        <v>#REF!</v>
      </c>
      <c r="X32" s="82" t="e">
        <f>SUM(#REF!)</f>
        <v>#REF!</v>
      </c>
      <c r="Y32" s="83"/>
      <c r="Z32" s="73"/>
      <c r="AA32" s="73"/>
      <c r="AB32" s="73"/>
      <c r="AC32" s="73"/>
    </row>
    <row r="33" spans="1:32" ht="15" customHeight="1">
      <c r="A33" s="16"/>
      <c r="B33" s="87" t="s">
        <v>36</v>
      </c>
      <c r="C33" s="18"/>
      <c r="D33" s="18"/>
      <c r="E33" s="33"/>
      <c r="F33" s="19"/>
      <c r="G33" s="19"/>
      <c r="H33" s="20"/>
      <c r="I33" s="20"/>
      <c r="J33" s="20"/>
      <c r="K33" s="20"/>
      <c r="L33" s="20"/>
      <c r="M33" s="20"/>
      <c r="N33" s="20"/>
      <c r="O33" s="29"/>
      <c r="P33" s="29"/>
      <c r="Q33" s="29"/>
      <c r="R33" s="29"/>
      <c r="S33" s="29"/>
      <c r="T33" s="29"/>
      <c r="U33" s="29"/>
      <c r="V33" s="29"/>
      <c r="W33" s="29"/>
      <c r="X33" s="77"/>
      <c r="Y33" s="22"/>
      <c r="Z33" s="37"/>
      <c r="AA33" s="37"/>
      <c r="AB33" s="37"/>
      <c r="AC33" s="22"/>
      <c r="AD33" s="22"/>
      <c r="AE33" s="22"/>
      <c r="AF33" s="22"/>
    </row>
    <row r="34" spans="1:33" ht="15" customHeight="1">
      <c r="A34" s="119"/>
      <c r="B34" s="17" t="s">
        <v>44</v>
      </c>
      <c r="C34" s="18" t="s">
        <v>22</v>
      </c>
      <c r="D34" s="18" t="s">
        <v>135</v>
      </c>
      <c r="E34" s="19">
        <v>10.63</v>
      </c>
      <c r="F34" s="19">
        <v>9.56</v>
      </c>
      <c r="G34" s="19">
        <f>H34*150/135</f>
        <v>0.5888888888888889</v>
      </c>
      <c r="H34" s="20">
        <v>0.53</v>
      </c>
      <c r="I34" s="19">
        <v>0</v>
      </c>
      <c r="J34" s="20">
        <v>0</v>
      </c>
      <c r="K34" s="19">
        <f>L34*150/135</f>
        <v>14.5</v>
      </c>
      <c r="L34" s="20">
        <v>13.05</v>
      </c>
      <c r="M34" s="19">
        <f>N34*150/135</f>
        <v>56.233333333333334</v>
      </c>
      <c r="N34" s="20">
        <v>50.61</v>
      </c>
      <c r="O34" s="19">
        <v>0.02</v>
      </c>
      <c r="P34" s="20">
        <v>0.02</v>
      </c>
      <c r="Q34" s="19">
        <f>R34*160/150</f>
        <v>0.05333333333333334</v>
      </c>
      <c r="R34" s="20">
        <v>0.05</v>
      </c>
      <c r="S34" s="19">
        <f>T34*150/135</f>
        <v>23.677777777777777</v>
      </c>
      <c r="T34" s="20">
        <v>21.31</v>
      </c>
      <c r="U34" s="19">
        <v>24</v>
      </c>
      <c r="V34" s="20">
        <v>24</v>
      </c>
      <c r="W34" s="19">
        <v>3.3</v>
      </c>
      <c r="X34" s="39">
        <v>3.3</v>
      </c>
      <c r="Y34" s="80"/>
      <c r="Z34" s="37"/>
      <c r="AA34" s="37"/>
      <c r="AB34" s="37"/>
      <c r="AC34" s="22"/>
      <c r="AD34" s="22"/>
      <c r="AE34" s="22"/>
      <c r="AF34" s="22"/>
      <c r="AG34" s="22"/>
    </row>
    <row r="35" spans="1:29" ht="18.75" customHeight="1">
      <c r="A35" s="16" t="s">
        <v>154</v>
      </c>
      <c r="B35" s="17" t="s">
        <v>155</v>
      </c>
      <c r="C35" s="18" t="s">
        <v>29</v>
      </c>
      <c r="D35" s="18" t="s">
        <v>29</v>
      </c>
      <c r="E35" s="19">
        <v>24.54</v>
      </c>
      <c r="F35" s="19">
        <v>24.54</v>
      </c>
      <c r="G35" s="19">
        <v>8.4</v>
      </c>
      <c r="H35" s="19">
        <v>8.4</v>
      </c>
      <c r="I35" s="20">
        <v>6.8</v>
      </c>
      <c r="J35" s="20">
        <v>6.8</v>
      </c>
      <c r="K35" s="20">
        <v>3.39</v>
      </c>
      <c r="L35" s="20">
        <v>3.39</v>
      </c>
      <c r="M35" s="20">
        <v>130.75</v>
      </c>
      <c r="N35" s="20">
        <v>130.75</v>
      </c>
      <c r="O35" s="20">
        <v>0</v>
      </c>
      <c r="P35" s="20">
        <v>0.07</v>
      </c>
      <c r="Q35" s="20">
        <v>0</v>
      </c>
      <c r="R35" s="20">
        <v>0.08</v>
      </c>
      <c r="S35" s="20">
        <v>0.77</v>
      </c>
      <c r="T35" s="20">
        <v>0.77</v>
      </c>
      <c r="U35" s="20">
        <v>0</v>
      </c>
      <c r="V35" s="20">
        <v>17.71</v>
      </c>
      <c r="W35" s="20">
        <v>0</v>
      </c>
      <c r="X35" s="20">
        <v>0.44</v>
      </c>
      <c r="Y35" s="32"/>
      <c r="Z35" s="32"/>
      <c r="AA35" s="32"/>
      <c r="AB35" s="32"/>
      <c r="AC35" s="32"/>
    </row>
    <row r="36" spans="1:31" ht="15" customHeight="1">
      <c r="A36" s="118" t="s">
        <v>83</v>
      </c>
      <c r="B36" s="58" t="s">
        <v>84</v>
      </c>
      <c r="C36" s="59" t="s">
        <v>22</v>
      </c>
      <c r="D36" s="59" t="s">
        <v>82</v>
      </c>
      <c r="E36" s="60">
        <v>7.22</v>
      </c>
      <c r="F36" s="60">
        <v>4.81</v>
      </c>
      <c r="G36" s="61">
        <v>3</v>
      </c>
      <c r="H36" s="61">
        <f>G36*100/150</f>
        <v>2</v>
      </c>
      <c r="I36" s="61">
        <v>4.8</v>
      </c>
      <c r="J36" s="61">
        <f>I36*100/150</f>
        <v>3.2</v>
      </c>
      <c r="K36" s="61">
        <v>20.4</v>
      </c>
      <c r="L36" s="61">
        <f>K36*100/150</f>
        <v>13.599999999999998</v>
      </c>
      <c r="M36" s="61">
        <v>140</v>
      </c>
      <c r="N36" s="61">
        <f>M36*100/150</f>
        <v>93.33333333333333</v>
      </c>
      <c r="O36" s="62">
        <v>0.16</v>
      </c>
      <c r="P36" s="62">
        <v>0</v>
      </c>
      <c r="Q36" s="62">
        <v>0.1</v>
      </c>
      <c r="R36" s="62">
        <f>Q36/1.5</f>
        <v>0.06666666666666667</v>
      </c>
      <c r="S36" s="61">
        <v>18.1</v>
      </c>
      <c r="T36" s="61">
        <f>S36*100/150</f>
        <v>12.066666666666668</v>
      </c>
      <c r="U36" s="64">
        <v>42.66</v>
      </c>
      <c r="V36" s="64">
        <v>35.44</v>
      </c>
      <c r="W36" s="64">
        <v>0.19</v>
      </c>
      <c r="X36" s="64">
        <f>W36/1.5</f>
        <v>0.12666666666666668</v>
      </c>
      <c r="Y36" s="22"/>
      <c r="Z36" s="22"/>
      <c r="AA36" s="22"/>
      <c r="AB36" s="22"/>
      <c r="AC36" s="22"/>
      <c r="AD36" s="22"/>
      <c r="AE36" s="22"/>
    </row>
    <row r="37" spans="1:31" ht="15" customHeight="1">
      <c r="A37" s="119" t="s">
        <v>90</v>
      </c>
      <c r="B37" s="23" t="s">
        <v>91</v>
      </c>
      <c r="C37" s="18" t="s">
        <v>21</v>
      </c>
      <c r="D37" s="18" t="s">
        <v>22</v>
      </c>
      <c r="E37" s="19">
        <v>0.51</v>
      </c>
      <c r="F37" s="19">
        <v>0.38</v>
      </c>
      <c r="G37" s="19">
        <v>0.18</v>
      </c>
      <c r="H37" s="20">
        <v>0.13</v>
      </c>
      <c r="I37" s="19">
        <f>J37*200/150</f>
        <v>0</v>
      </c>
      <c r="J37" s="20">
        <v>0</v>
      </c>
      <c r="K37" s="19">
        <v>4.78</v>
      </c>
      <c r="L37" s="20">
        <v>3.58</v>
      </c>
      <c r="M37" s="19">
        <v>19.9</v>
      </c>
      <c r="N37" s="20">
        <v>14.92</v>
      </c>
      <c r="O37" s="19">
        <f>P37*200/150</f>
        <v>0.013333333333333334</v>
      </c>
      <c r="P37" s="29">
        <v>0.01</v>
      </c>
      <c r="Q37" s="19">
        <f>R37*200/150</f>
        <v>0.013333333333333334</v>
      </c>
      <c r="R37" s="29">
        <v>0.01</v>
      </c>
      <c r="S37" s="19">
        <v>0.04</v>
      </c>
      <c r="T37" s="29">
        <v>0.03</v>
      </c>
      <c r="U37" s="19">
        <f>V37*200/150</f>
        <v>5.053333333333334</v>
      </c>
      <c r="V37" s="29">
        <v>3.79</v>
      </c>
      <c r="W37" s="19">
        <f>X37*200/150</f>
        <v>0.84</v>
      </c>
      <c r="X37" s="77">
        <v>0.63</v>
      </c>
      <c r="Y37" s="22"/>
      <c r="Z37" s="22"/>
      <c r="AA37" s="22"/>
      <c r="AB37" s="22"/>
      <c r="AC37" s="22"/>
      <c r="AD37" s="22"/>
      <c r="AE37" s="22"/>
    </row>
    <row r="38" spans="1:31" s="67" customFormat="1" ht="15" customHeight="1">
      <c r="A38" s="118"/>
      <c r="B38" s="58" t="s">
        <v>30</v>
      </c>
      <c r="C38" s="59" t="s">
        <v>31</v>
      </c>
      <c r="D38" s="59" t="s">
        <v>31</v>
      </c>
      <c r="E38" s="60">
        <v>1.11</v>
      </c>
      <c r="F38" s="60">
        <v>1.11</v>
      </c>
      <c r="G38" s="60">
        <v>1.6</v>
      </c>
      <c r="H38" s="60">
        <v>1.6</v>
      </c>
      <c r="I38" s="60">
        <v>0.4</v>
      </c>
      <c r="J38" s="60">
        <v>0.4</v>
      </c>
      <c r="K38" s="60">
        <v>10</v>
      </c>
      <c r="L38" s="60">
        <v>10</v>
      </c>
      <c r="M38" s="61">
        <v>54</v>
      </c>
      <c r="N38" s="61">
        <v>54</v>
      </c>
      <c r="O38" s="64">
        <v>0.04</v>
      </c>
      <c r="P38" s="65">
        <v>0.04</v>
      </c>
      <c r="Q38" s="64">
        <v>0.02</v>
      </c>
      <c r="R38" s="65">
        <v>0.02</v>
      </c>
      <c r="S38" s="64">
        <v>0</v>
      </c>
      <c r="T38" s="65">
        <v>0</v>
      </c>
      <c r="U38" s="64">
        <v>7.4</v>
      </c>
      <c r="V38" s="65">
        <v>7.4</v>
      </c>
      <c r="W38" s="64">
        <v>0.56</v>
      </c>
      <c r="X38" s="65">
        <v>0.56</v>
      </c>
      <c r="Y38" s="66"/>
      <c r="Z38" s="66"/>
      <c r="AA38" s="66"/>
      <c r="AB38" s="66"/>
      <c r="AC38" s="66"/>
      <c r="AD38" s="66"/>
      <c r="AE38" s="66"/>
    </row>
    <row r="39" spans="1:32" ht="15" customHeight="1">
      <c r="A39" s="16"/>
      <c r="B39" s="17" t="s">
        <v>23</v>
      </c>
      <c r="C39" s="18"/>
      <c r="D39" s="18"/>
      <c r="E39" s="28">
        <f>SUM(E34:E38)</f>
        <v>44.01</v>
      </c>
      <c r="F39" s="28">
        <f>SUM(F34:F38)</f>
        <v>40.400000000000006</v>
      </c>
      <c r="G39" s="28">
        <f aca="true" t="shared" si="6" ref="G39:T39">SUM(G34:G38)</f>
        <v>13.768888888888888</v>
      </c>
      <c r="H39" s="28">
        <f t="shared" si="6"/>
        <v>12.66</v>
      </c>
      <c r="I39" s="28">
        <f t="shared" si="6"/>
        <v>12</v>
      </c>
      <c r="J39" s="28">
        <f t="shared" si="6"/>
        <v>10.4</v>
      </c>
      <c r="K39" s="28">
        <f t="shared" si="6"/>
        <v>53.07</v>
      </c>
      <c r="L39" s="28">
        <f t="shared" si="6"/>
        <v>43.62</v>
      </c>
      <c r="M39" s="28">
        <f t="shared" si="6"/>
        <v>400.8833333333333</v>
      </c>
      <c r="N39" s="28">
        <f t="shared" si="6"/>
        <v>343.61333333333334</v>
      </c>
      <c r="O39" s="28">
        <f t="shared" si="6"/>
        <v>0.23333333333333334</v>
      </c>
      <c r="P39" s="28">
        <f t="shared" si="6"/>
        <v>0.14</v>
      </c>
      <c r="Q39" s="28">
        <f t="shared" si="6"/>
        <v>0.18666666666666668</v>
      </c>
      <c r="R39" s="28">
        <f t="shared" si="6"/>
        <v>0.22666666666666666</v>
      </c>
      <c r="S39" s="28">
        <f t="shared" si="6"/>
        <v>42.58777777777778</v>
      </c>
      <c r="T39" s="28">
        <f t="shared" si="6"/>
        <v>34.17666666666667</v>
      </c>
      <c r="U39" s="28">
        <f aca="true" t="shared" si="7" ref="U39:AB39">SUM(U34:U38)</f>
        <v>79.11333333333333</v>
      </c>
      <c r="V39" s="28">
        <f t="shared" si="7"/>
        <v>88.34000000000002</v>
      </c>
      <c r="W39" s="28">
        <f t="shared" si="7"/>
        <v>4.890000000000001</v>
      </c>
      <c r="X39" s="28">
        <f t="shared" si="7"/>
        <v>5.056666666666667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73"/>
      <c r="AD39" s="22"/>
      <c r="AE39" s="22"/>
      <c r="AF39" s="22"/>
    </row>
    <row r="40" spans="1:32" ht="15" customHeight="1">
      <c r="A40" s="16"/>
      <c r="B40" s="17" t="s">
        <v>37</v>
      </c>
      <c r="C40" s="18"/>
      <c r="D40" s="18"/>
      <c r="E40" s="28">
        <f>E39+E32+E29+E20+E17</f>
        <v>101.13000000000001</v>
      </c>
      <c r="F40" s="28">
        <f>F39+F32+F29+F20+F17</f>
        <v>92.88000000000001</v>
      </c>
      <c r="G40" s="28">
        <f aca="true" t="shared" si="8" ref="G40:T40">G39+G32+G29+G20+G17</f>
        <v>43.76888888888888</v>
      </c>
      <c r="H40" s="28">
        <f t="shared" si="8"/>
        <v>38.88999999999999</v>
      </c>
      <c r="I40" s="28">
        <f t="shared" si="8"/>
        <v>51.93666666666667</v>
      </c>
      <c r="J40" s="28">
        <f t="shared" si="8"/>
        <v>45.166</v>
      </c>
      <c r="K40" s="28">
        <f t="shared" si="8"/>
        <v>261.19</v>
      </c>
      <c r="L40" s="28">
        <f t="shared" si="8"/>
        <v>207.48</v>
      </c>
      <c r="M40" s="28">
        <f t="shared" si="8"/>
        <v>1685.8733333333334</v>
      </c>
      <c r="N40" s="28">
        <f t="shared" si="8"/>
        <v>1400.9733333333334</v>
      </c>
      <c r="O40" s="28">
        <f t="shared" si="8"/>
        <v>1.0803333333333336</v>
      </c>
      <c r="P40" s="28">
        <f t="shared" si="8"/>
        <v>0.8250000000000001</v>
      </c>
      <c r="Q40" s="28">
        <f t="shared" si="8"/>
        <v>0.9326666666666666</v>
      </c>
      <c r="R40" s="28">
        <f t="shared" si="8"/>
        <v>0.9191666666666667</v>
      </c>
      <c r="S40" s="28">
        <f t="shared" si="8"/>
        <v>64.16777777777779</v>
      </c>
      <c r="T40" s="28">
        <f t="shared" si="8"/>
        <v>52.06416666666667</v>
      </c>
      <c r="U40" s="28" t="e">
        <f>U39+U32+U29+U20+U17</f>
        <v>#REF!</v>
      </c>
      <c r="V40" s="28" t="e">
        <f>V39+V32+V29+V20+V17</f>
        <v>#REF!</v>
      </c>
      <c r="W40" s="28" t="e">
        <f>W39+W32+W29+W20+W17</f>
        <v>#REF!</v>
      </c>
      <c r="X40" s="76" t="e">
        <f>X39+X32+X29+X20+X17</f>
        <v>#REF!</v>
      </c>
      <c r="Y40" s="73"/>
      <c r="Z40" s="73"/>
      <c r="AA40" s="73"/>
      <c r="AB40" s="73"/>
      <c r="AC40" s="73"/>
      <c r="AD40" s="22"/>
      <c r="AE40" s="22"/>
      <c r="AF40" s="22"/>
    </row>
    <row r="41" spans="1:32" ht="15" customHeight="1">
      <c r="A41" s="16"/>
      <c r="B41" s="17"/>
      <c r="C41" s="18"/>
      <c r="D41" s="1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76"/>
      <c r="Y41" s="73"/>
      <c r="Z41" s="73"/>
      <c r="AA41" s="73"/>
      <c r="AB41" s="73"/>
      <c r="AC41" s="73"/>
      <c r="AD41" s="22"/>
      <c r="AE41" s="22"/>
      <c r="AF41" s="22"/>
    </row>
    <row r="42" spans="1:32" ht="15" customHeight="1">
      <c r="A42" s="16"/>
      <c r="B42" s="85" t="s">
        <v>140</v>
      </c>
      <c r="C42" s="18"/>
      <c r="D42" s="18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9"/>
      <c r="P42" s="29"/>
      <c r="Q42" s="29"/>
      <c r="R42" s="29"/>
      <c r="S42" s="29"/>
      <c r="T42" s="29"/>
      <c r="U42" s="29"/>
      <c r="V42" s="29"/>
      <c r="W42" s="29"/>
      <c r="X42" s="77"/>
      <c r="Y42" s="22"/>
      <c r="Z42" s="37"/>
      <c r="AA42" s="37"/>
      <c r="AB42" s="37"/>
      <c r="AC42" s="22"/>
      <c r="AD42" s="22"/>
      <c r="AE42" s="22"/>
      <c r="AF42" s="22"/>
    </row>
    <row r="43" spans="1:32" ht="15" customHeight="1">
      <c r="A43" s="16"/>
      <c r="B43" s="87" t="s">
        <v>17</v>
      </c>
      <c r="C43" s="18"/>
      <c r="D43" s="18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9"/>
      <c r="P43" s="29"/>
      <c r="Q43" s="29"/>
      <c r="R43" s="29"/>
      <c r="S43" s="29"/>
      <c r="T43" s="29"/>
      <c r="U43" s="29"/>
      <c r="V43" s="29"/>
      <c r="W43" s="29"/>
      <c r="X43" s="77"/>
      <c r="Y43" s="22"/>
      <c r="Z43" s="37"/>
      <c r="AA43" s="37"/>
      <c r="AB43" s="37"/>
      <c r="AC43" s="22"/>
      <c r="AD43" s="22"/>
      <c r="AE43" s="22"/>
      <c r="AF43" s="22"/>
    </row>
    <row r="44" spans="1:30" s="32" customFormat="1" ht="14.25" customHeight="1">
      <c r="A44" s="118" t="s">
        <v>64</v>
      </c>
      <c r="B44" s="58" t="s">
        <v>129</v>
      </c>
      <c r="C44" s="59" t="s">
        <v>86</v>
      </c>
      <c r="D44" s="59" t="s">
        <v>86</v>
      </c>
      <c r="E44" s="60">
        <v>4.35</v>
      </c>
      <c r="F44" s="60">
        <v>4.35</v>
      </c>
      <c r="G44" s="60">
        <v>2.9</v>
      </c>
      <c r="H44" s="61">
        <v>2.9</v>
      </c>
      <c r="I44" s="60">
        <v>1.95</v>
      </c>
      <c r="J44" s="61">
        <v>1.95</v>
      </c>
      <c r="K44" s="60">
        <v>10.4</v>
      </c>
      <c r="L44" s="61">
        <v>10.4</v>
      </c>
      <c r="M44" s="60">
        <v>70.75</v>
      </c>
      <c r="N44" s="61">
        <v>70.75</v>
      </c>
      <c r="O44" s="130">
        <v>0.08</v>
      </c>
      <c r="P44" s="130">
        <f>O44*40/60</f>
        <v>0.05333333333333334</v>
      </c>
      <c r="Q44" s="130">
        <v>0.06</v>
      </c>
      <c r="R44" s="130">
        <f>Q44*40/60</f>
        <v>0.04</v>
      </c>
      <c r="S44" s="60">
        <v>0.14</v>
      </c>
      <c r="T44" s="61">
        <v>0.14</v>
      </c>
      <c r="U44" s="61">
        <v>70.8</v>
      </c>
      <c r="V44" s="61">
        <f>U44*40/60</f>
        <v>47.2</v>
      </c>
      <c r="W44" s="61">
        <v>0.81</v>
      </c>
      <c r="X44" s="81">
        <f>W44*40/60</f>
        <v>0.5400000000000001</v>
      </c>
      <c r="Y44" s="79"/>
      <c r="Z44" s="37"/>
      <c r="AA44" s="37"/>
      <c r="AB44" s="37"/>
      <c r="AC44" s="37"/>
      <c r="AD44" s="37"/>
    </row>
    <row r="45" spans="1:33" ht="13.5" customHeight="1">
      <c r="A45" s="118" t="s">
        <v>97</v>
      </c>
      <c r="B45" s="58" t="s">
        <v>126</v>
      </c>
      <c r="C45" s="59" t="s">
        <v>21</v>
      </c>
      <c r="D45" s="59" t="s">
        <v>22</v>
      </c>
      <c r="E45" s="19">
        <v>6.76</v>
      </c>
      <c r="F45" s="19">
        <v>5.07</v>
      </c>
      <c r="G45" s="60">
        <v>5.76</v>
      </c>
      <c r="H45" s="60">
        <v>4.32</v>
      </c>
      <c r="I45" s="60">
        <v>6.64</v>
      </c>
      <c r="J45" s="60">
        <v>4.98</v>
      </c>
      <c r="K45" s="60">
        <v>19.28</v>
      </c>
      <c r="L45" s="60">
        <f>K45*150/200</f>
        <v>14.46</v>
      </c>
      <c r="M45" s="60">
        <v>160</v>
      </c>
      <c r="N45" s="60">
        <v>120</v>
      </c>
      <c r="O45" s="61">
        <v>0.09</v>
      </c>
      <c r="P45" s="60">
        <f>O45*150/200</f>
        <v>0.0675</v>
      </c>
      <c r="Q45" s="61">
        <v>0.14</v>
      </c>
      <c r="R45" s="60">
        <f>Q45*150/200</f>
        <v>0.10500000000000002</v>
      </c>
      <c r="S45" s="61">
        <v>0.9</v>
      </c>
      <c r="T45" s="60">
        <v>0.67</v>
      </c>
      <c r="U45" s="61">
        <v>129.32</v>
      </c>
      <c r="V45" s="60">
        <f>U45*150/200</f>
        <v>96.99</v>
      </c>
      <c r="W45" s="61">
        <v>0.42</v>
      </c>
      <c r="X45" s="129">
        <f>W45*150/200</f>
        <v>0.315</v>
      </c>
      <c r="Y45" s="80"/>
      <c r="Z45" s="22"/>
      <c r="AA45" s="22"/>
      <c r="AB45" s="22"/>
      <c r="AC45" s="22"/>
      <c r="AD45" s="22"/>
      <c r="AE45" s="22"/>
      <c r="AF45" s="22"/>
      <c r="AG45" s="22"/>
    </row>
    <row r="46" spans="1:31" ht="15.75" customHeight="1">
      <c r="A46" s="118" t="s">
        <v>50</v>
      </c>
      <c r="B46" s="58" t="s">
        <v>40</v>
      </c>
      <c r="C46" s="59" t="s">
        <v>26</v>
      </c>
      <c r="D46" s="59" t="s">
        <v>22</v>
      </c>
      <c r="E46" s="60">
        <v>5.92</v>
      </c>
      <c r="F46" s="60">
        <v>4.78</v>
      </c>
      <c r="G46" s="60">
        <v>2.85</v>
      </c>
      <c r="H46" s="61">
        <v>2.34</v>
      </c>
      <c r="I46" s="60">
        <v>2.41</v>
      </c>
      <c r="J46" s="61">
        <v>2</v>
      </c>
      <c r="K46" s="60">
        <v>14.36</v>
      </c>
      <c r="L46" s="61">
        <v>10.63</v>
      </c>
      <c r="M46" s="60">
        <v>91</v>
      </c>
      <c r="N46" s="61">
        <v>70</v>
      </c>
      <c r="O46" s="60">
        <f>P46*180/150</f>
        <v>0.012</v>
      </c>
      <c r="P46" s="68">
        <v>0.01</v>
      </c>
      <c r="Q46" s="60">
        <f>R46*180/150</f>
        <v>0.084</v>
      </c>
      <c r="R46" s="68">
        <v>0.07</v>
      </c>
      <c r="S46" s="60">
        <v>1.17</v>
      </c>
      <c r="T46" s="61">
        <f>S46*150/180</f>
        <v>0.975</v>
      </c>
      <c r="U46" s="60">
        <f>V46*180/150</f>
        <v>57.516</v>
      </c>
      <c r="V46" s="68">
        <v>47.93</v>
      </c>
      <c r="W46" s="60">
        <f>X46*180/150</f>
        <v>0.264</v>
      </c>
      <c r="X46" s="68">
        <v>0.22</v>
      </c>
      <c r="Y46" s="22"/>
      <c r="Z46" s="22"/>
      <c r="AA46" s="22"/>
      <c r="AB46" s="22"/>
      <c r="AC46" s="22"/>
      <c r="AD46" s="22"/>
      <c r="AE46" s="22"/>
    </row>
    <row r="47" spans="1:32" ht="15" customHeight="1">
      <c r="A47" s="16"/>
      <c r="B47" s="17" t="s">
        <v>23</v>
      </c>
      <c r="C47" s="18"/>
      <c r="D47" s="18"/>
      <c r="E47" s="28">
        <f>SUM(E44:E46)</f>
        <v>17.03</v>
      </c>
      <c r="F47" s="28">
        <f>SUM(F44:F46)</f>
        <v>14.2</v>
      </c>
      <c r="G47" s="28">
        <f aca="true" t="shared" si="9" ref="G47:T47">SUM(G44:G46)</f>
        <v>11.51</v>
      </c>
      <c r="H47" s="28">
        <f t="shared" si="9"/>
        <v>9.56</v>
      </c>
      <c r="I47" s="28">
        <f t="shared" si="9"/>
        <v>11</v>
      </c>
      <c r="J47" s="28">
        <f t="shared" si="9"/>
        <v>8.93</v>
      </c>
      <c r="K47" s="28">
        <f t="shared" si="9"/>
        <v>44.04</v>
      </c>
      <c r="L47" s="28">
        <f t="shared" si="9"/>
        <v>35.49</v>
      </c>
      <c r="M47" s="28">
        <f t="shared" si="9"/>
        <v>321.75</v>
      </c>
      <c r="N47" s="28">
        <f t="shared" si="9"/>
        <v>260.75</v>
      </c>
      <c r="O47" s="28">
        <f t="shared" si="9"/>
        <v>0.182</v>
      </c>
      <c r="P47" s="28">
        <f t="shared" si="9"/>
        <v>0.13083333333333336</v>
      </c>
      <c r="Q47" s="28">
        <f t="shared" si="9"/>
        <v>0.28400000000000003</v>
      </c>
      <c r="R47" s="28">
        <f t="shared" si="9"/>
        <v>0.21500000000000002</v>
      </c>
      <c r="S47" s="28">
        <f t="shared" si="9"/>
        <v>2.21</v>
      </c>
      <c r="T47" s="28">
        <f t="shared" si="9"/>
        <v>1.7850000000000001</v>
      </c>
      <c r="U47" s="28">
        <f aca="true" t="shared" si="10" ref="U47:AB47">SUM(U44:U46)</f>
        <v>257.636</v>
      </c>
      <c r="V47" s="28">
        <f t="shared" si="10"/>
        <v>192.12</v>
      </c>
      <c r="W47" s="28">
        <f t="shared" si="10"/>
        <v>1.494</v>
      </c>
      <c r="X47" s="28">
        <f t="shared" si="10"/>
        <v>1.0750000000000002</v>
      </c>
      <c r="Y47" s="28">
        <f t="shared" si="10"/>
        <v>0</v>
      </c>
      <c r="Z47" s="28">
        <f t="shared" si="10"/>
        <v>0</v>
      </c>
      <c r="AA47" s="28">
        <f t="shared" si="10"/>
        <v>0</v>
      </c>
      <c r="AB47" s="28">
        <f t="shared" si="10"/>
        <v>0</v>
      </c>
      <c r="AC47" s="73"/>
      <c r="AD47" s="22"/>
      <c r="AE47" s="22"/>
      <c r="AF47" s="22"/>
    </row>
    <row r="48" spans="1:32" ht="15" customHeight="1">
      <c r="A48" s="16"/>
      <c r="B48" s="87" t="s">
        <v>41</v>
      </c>
      <c r="C48" s="18"/>
      <c r="D48" s="18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9"/>
      <c r="P48" s="29"/>
      <c r="Q48" s="29"/>
      <c r="R48" s="29"/>
      <c r="S48" s="29"/>
      <c r="T48" s="29"/>
      <c r="U48" s="29"/>
      <c r="V48" s="29"/>
      <c r="W48" s="29"/>
      <c r="X48" s="77"/>
      <c r="Y48" s="22"/>
      <c r="Z48" s="37"/>
      <c r="AA48" s="37"/>
      <c r="AB48" s="37"/>
      <c r="AC48" s="22"/>
      <c r="AD48" s="22"/>
      <c r="AE48" s="22"/>
      <c r="AF48" s="22"/>
    </row>
    <row r="49" spans="1:31" s="32" customFormat="1" ht="15" customHeight="1">
      <c r="A49" s="119" t="s">
        <v>25</v>
      </c>
      <c r="B49" s="17" t="s">
        <v>61</v>
      </c>
      <c r="C49" s="18" t="s">
        <v>21</v>
      </c>
      <c r="D49" s="18" t="s">
        <v>26</v>
      </c>
      <c r="E49" s="19">
        <v>5.4</v>
      </c>
      <c r="F49" s="19">
        <v>4.86</v>
      </c>
      <c r="G49" s="25">
        <v>0</v>
      </c>
      <c r="H49" s="26">
        <v>0</v>
      </c>
      <c r="I49" s="25">
        <f>J49*180/150</f>
        <v>0</v>
      </c>
      <c r="J49" s="26">
        <v>0</v>
      </c>
      <c r="K49" s="25">
        <v>12</v>
      </c>
      <c r="L49" s="26">
        <f>K49*180/200</f>
        <v>10.8</v>
      </c>
      <c r="M49" s="25">
        <v>48</v>
      </c>
      <c r="N49" s="26">
        <f>M49*180/200</f>
        <v>43.2</v>
      </c>
      <c r="O49" s="25">
        <f>P49*180/150</f>
        <v>0</v>
      </c>
      <c r="P49" s="26">
        <v>0</v>
      </c>
      <c r="Q49" s="25">
        <f>R49*180/150</f>
        <v>0.024</v>
      </c>
      <c r="R49" s="26">
        <v>0.02</v>
      </c>
      <c r="S49" s="25">
        <v>4</v>
      </c>
      <c r="T49" s="26">
        <f>S49*180/200</f>
        <v>3.6</v>
      </c>
      <c r="U49" s="25">
        <f>V49*180/150</f>
        <v>9.996</v>
      </c>
      <c r="V49" s="26">
        <v>8.33</v>
      </c>
      <c r="W49" s="25">
        <f>X49*180/150</f>
        <v>0.252</v>
      </c>
      <c r="X49" s="78">
        <v>0.21</v>
      </c>
      <c r="Y49" s="37"/>
      <c r="Z49" s="37"/>
      <c r="AA49" s="37"/>
      <c r="AB49" s="37"/>
      <c r="AC49" s="37"/>
      <c r="AD49" s="37"/>
      <c r="AE49" s="37"/>
    </row>
    <row r="50" spans="1:32" ht="15" customHeight="1">
      <c r="A50" s="16"/>
      <c r="B50" s="17" t="s">
        <v>23</v>
      </c>
      <c r="C50" s="18"/>
      <c r="D50" s="18"/>
      <c r="E50" s="28">
        <f>SUM(E49)</f>
        <v>5.4</v>
      </c>
      <c r="F50" s="28">
        <f>SUM(F49)</f>
        <v>4.86</v>
      </c>
      <c r="G50" s="28">
        <f aca="true" t="shared" si="11" ref="G50:T50">SUM(G49)</f>
        <v>0</v>
      </c>
      <c r="H50" s="28">
        <f t="shared" si="11"/>
        <v>0</v>
      </c>
      <c r="I50" s="28">
        <f t="shared" si="11"/>
        <v>0</v>
      </c>
      <c r="J50" s="28">
        <f t="shared" si="11"/>
        <v>0</v>
      </c>
      <c r="K50" s="28">
        <f t="shared" si="11"/>
        <v>12</v>
      </c>
      <c r="L50" s="28">
        <f t="shared" si="11"/>
        <v>10.8</v>
      </c>
      <c r="M50" s="28">
        <f t="shared" si="11"/>
        <v>48</v>
      </c>
      <c r="N50" s="28">
        <f t="shared" si="11"/>
        <v>43.2</v>
      </c>
      <c r="O50" s="28">
        <f t="shared" si="11"/>
        <v>0</v>
      </c>
      <c r="P50" s="28">
        <f t="shared" si="11"/>
        <v>0</v>
      </c>
      <c r="Q50" s="28">
        <f t="shared" si="11"/>
        <v>0.024</v>
      </c>
      <c r="R50" s="28">
        <f t="shared" si="11"/>
        <v>0.02</v>
      </c>
      <c r="S50" s="28">
        <f t="shared" si="11"/>
        <v>4</v>
      </c>
      <c r="T50" s="28">
        <f t="shared" si="11"/>
        <v>3.6</v>
      </c>
      <c r="U50" s="28">
        <f aca="true" t="shared" si="12" ref="U50:AB50">SUM(U49)</f>
        <v>9.996</v>
      </c>
      <c r="V50" s="28">
        <f t="shared" si="12"/>
        <v>8.33</v>
      </c>
      <c r="W50" s="28">
        <f t="shared" si="12"/>
        <v>0.252</v>
      </c>
      <c r="X50" s="28">
        <f t="shared" si="12"/>
        <v>0.21</v>
      </c>
      <c r="Y50" s="28">
        <f t="shared" si="12"/>
        <v>0</v>
      </c>
      <c r="Z50" s="28">
        <f t="shared" si="12"/>
        <v>0</v>
      </c>
      <c r="AA50" s="28">
        <f t="shared" si="12"/>
        <v>0</v>
      </c>
      <c r="AB50" s="28">
        <f t="shared" si="12"/>
        <v>0</v>
      </c>
      <c r="AC50" s="73"/>
      <c r="AD50" s="22"/>
      <c r="AE50" s="22"/>
      <c r="AF50" s="22"/>
    </row>
    <row r="51" spans="1:32" ht="15" customHeight="1">
      <c r="A51" s="16"/>
      <c r="B51" s="87" t="s">
        <v>27</v>
      </c>
      <c r="C51" s="18"/>
      <c r="D51" s="18"/>
      <c r="E51" s="19"/>
      <c r="F51" s="19"/>
      <c r="G51" s="19"/>
      <c r="H51" s="20"/>
      <c r="I51" s="20"/>
      <c r="J51" s="20"/>
      <c r="K51" s="20"/>
      <c r="L51" s="20"/>
      <c r="M51" s="20"/>
      <c r="N51" s="20"/>
      <c r="O51" s="29"/>
      <c r="P51" s="29"/>
      <c r="Q51" s="29"/>
      <c r="R51" s="29"/>
      <c r="S51" s="29"/>
      <c r="T51" s="29"/>
      <c r="U51" s="29"/>
      <c r="V51" s="29"/>
      <c r="W51" s="29"/>
      <c r="X51" s="77"/>
      <c r="Y51" s="22"/>
      <c r="Z51" s="37"/>
      <c r="AA51" s="37"/>
      <c r="AB51" s="37"/>
      <c r="AC51" s="22"/>
      <c r="AD51" s="22"/>
      <c r="AE51" s="22"/>
      <c r="AF51" s="22"/>
    </row>
    <row r="52" spans="1:28" ht="15.75" customHeight="1">
      <c r="A52" s="118" t="s">
        <v>136</v>
      </c>
      <c r="B52" s="58" t="s">
        <v>137</v>
      </c>
      <c r="C52" s="59" t="s">
        <v>28</v>
      </c>
      <c r="D52" s="59" t="s">
        <v>159</v>
      </c>
      <c r="E52" s="60">
        <v>2.47</v>
      </c>
      <c r="F52" s="60">
        <v>1.85</v>
      </c>
      <c r="G52" s="60">
        <f>H52*60/45</f>
        <v>0.9066666666666667</v>
      </c>
      <c r="H52" s="61">
        <v>0.68</v>
      </c>
      <c r="I52" s="60">
        <f>J52*60/45</f>
        <v>2.4</v>
      </c>
      <c r="J52" s="61">
        <v>1.8</v>
      </c>
      <c r="K52" s="60">
        <f>L52*60/45</f>
        <v>4.8</v>
      </c>
      <c r="L52" s="61">
        <v>3.6</v>
      </c>
      <c r="M52" s="60">
        <f>N52*60/45</f>
        <v>44.39999999999999</v>
      </c>
      <c r="N52" s="61">
        <v>33.3</v>
      </c>
      <c r="O52" s="61">
        <v>0.02</v>
      </c>
      <c r="P52" s="61">
        <f>O52*45/60</f>
        <v>0.015000000000000001</v>
      </c>
      <c r="Q52" s="61">
        <v>0.02</v>
      </c>
      <c r="R52" s="61">
        <f>Q52*45/60</f>
        <v>0.015000000000000001</v>
      </c>
      <c r="S52" s="60">
        <f>T52*60/45</f>
        <v>5.880000000000001</v>
      </c>
      <c r="T52" s="61">
        <v>4.41</v>
      </c>
      <c r="U52" s="61">
        <v>6.13</v>
      </c>
      <c r="V52" s="61">
        <f>U52*45/60</f>
        <v>4.5975</v>
      </c>
      <c r="W52" s="61">
        <v>1.04</v>
      </c>
      <c r="X52" s="61">
        <f>W52*45/60</f>
        <v>0.78</v>
      </c>
      <c r="Z52" s="37"/>
      <c r="AA52" s="37"/>
      <c r="AB52" s="37"/>
    </row>
    <row r="53" spans="1:31" ht="25.5">
      <c r="A53" s="118" t="s">
        <v>152</v>
      </c>
      <c r="B53" s="63" t="s">
        <v>153</v>
      </c>
      <c r="C53" s="59" t="s">
        <v>73</v>
      </c>
      <c r="D53" s="59" t="s">
        <v>74</v>
      </c>
      <c r="E53" s="60">
        <v>11.97</v>
      </c>
      <c r="F53" s="60">
        <v>11.28</v>
      </c>
      <c r="G53" s="62">
        <v>5.7</v>
      </c>
      <c r="H53" s="62">
        <v>5.2</v>
      </c>
      <c r="I53" s="62">
        <v>6.2</v>
      </c>
      <c r="J53" s="62">
        <v>5.7</v>
      </c>
      <c r="K53" s="62">
        <v>13.6</v>
      </c>
      <c r="L53" s="62">
        <v>10.2</v>
      </c>
      <c r="M53" s="62">
        <v>133.2</v>
      </c>
      <c r="N53" s="62">
        <v>112.65</v>
      </c>
      <c r="O53" s="61">
        <v>0.12</v>
      </c>
      <c r="P53" s="61">
        <v>0.11</v>
      </c>
      <c r="Q53" s="61">
        <v>0.1</v>
      </c>
      <c r="R53" s="61">
        <v>0.11</v>
      </c>
      <c r="S53" s="61">
        <v>6.8</v>
      </c>
      <c r="T53" s="62">
        <v>5.2</v>
      </c>
      <c r="U53" s="61">
        <v>20.26</v>
      </c>
      <c r="V53" s="61">
        <v>19.08</v>
      </c>
      <c r="W53" s="61">
        <v>1</v>
      </c>
      <c r="X53" s="61">
        <v>0.97</v>
      </c>
      <c r="Y53" s="80"/>
      <c r="Z53" s="22"/>
      <c r="AA53" s="22"/>
      <c r="AB53" s="22"/>
      <c r="AC53" s="22"/>
      <c r="AD53" s="22"/>
      <c r="AE53" s="22"/>
    </row>
    <row r="54" spans="1:30" ht="17.25" customHeight="1">
      <c r="A54" s="119" t="s">
        <v>160</v>
      </c>
      <c r="B54" s="23" t="s">
        <v>161</v>
      </c>
      <c r="C54" s="18" t="s">
        <v>29</v>
      </c>
      <c r="D54" s="18" t="s">
        <v>29</v>
      </c>
      <c r="E54" s="19">
        <v>16.69</v>
      </c>
      <c r="F54" s="19">
        <v>16.69</v>
      </c>
      <c r="G54" s="19">
        <v>9</v>
      </c>
      <c r="H54" s="20">
        <v>9</v>
      </c>
      <c r="I54" s="19">
        <v>10</v>
      </c>
      <c r="J54" s="19">
        <v>10</v>
      </c>
      <c r="K54" s="20">
        <v>3</v>
      </c>
      <c r="L54" s="20">
        <v>3</v>
      </c>
      <c r="M54" s="20">
        <v>139</v>
      </c>
      <c r="N54" s="20">
        <v>139</v>
      </c>
      <c r="O54" s="20">
        <v>0.07</v>
      </c>
      <c r="P54" s="20">
        <v>0.07</v>
      </c>
      <c r="Q54" s="20">
        <v>0.09</v>
      </c>
      <c r="R54" s="20">
        <v>0.09</v>
      </c>
      <c r="S54" s="20">
        <v>0.34</v>
      </c>
      <c r="T54" s="20">
        <v>0.34</v>
      </c>
      <c r="U54" s="20">
        <v>12.73</v>
      </c>
      <c r="V54" s="20">
        <v>12.73</v>
      </c>
      <c r="W54" s="20">
        <v>0.74</v>
      </c>
      <c r="X54" s="39">
        <v>0.74</v>
      </c>
      <c r="Y54" s="80"/>
      <c r="Z54" s="22"/>
      <c r="AA54" s="22"/>
      <c r="AB54" s="22"/>
      <c r="AC54" s="22"/>
      <c r="AD54" s="22"/>
    </row>
    <row r="55" spans="1:29" ht="15.75" customHeight="1">
      <c r="A55" s="118" t="s">
        <v>101</v>
      </c>
      <c r="B55" s="58" t="s">
        <v>94</v>
      </c>
      <c r="C55" s="59" t="s">
        <v>22</v>
      </c>
      <c r="D55" s="59" t="s">
        <v>82</v>
      </c>
      <c r="E55" s="60">
        <v>5.94</v>
      </c>
      <c r="F55" s="60">
        <v>3.96</v>
      </c>
      <c r="G55" s="61">
        <v>3.75</v>
      </c>
      <c r="H55" s="61">
        <f>G55*100/150</f>
        <v>2.5</v>
      </c>
      <c r="I55" s="61">
        <v>6.92</v>
      </c>
      <c r="J55" s="61">
        <f>I55*100/150</f>
        <v>4.613333333333333</v>
      </c>
      <c r="K55" s="61">
        <v>16.15</v>
      </c>
      <c r="L55" s="61">
        <f>K55*100/150</f>
        <v>10.766666666666666</v>
      </c>
      <c r="M55" s="61">
        <v>141.3</v>
      </c>
      <c r="N55" s="61">
        <f>M55*100/150</f>
        <v>94.20000000000002</v>
      </c>
      <c r="O55" s="62"/>
      <c r="P55" s="61"/>
      <c r="Q55" s="62"/>
      <c r="R55" s="61"/>
      <c r="S55" s="61">
        <v>24.55</v>
      </c>
      <c r="T55" s="61">
        <f>S55*100/150</f>
        <v>16.366666666666667</v>
      </c>
      <c r="U55" s="62">
        <v>21.3</v>
      </c>
      <c r="V55" s="61">
        <f>U55*50/75</f>
        <v>14.2</v>
      </c>
      <c r="W55" s="62">
        <v>0.09</v>
      </c>
      <c r="X55" s="61">
        <f>W55*50/75</f>
        <v>0.06</v>
      </c>
      <c r="Z55" s="22"/>
      <c r="AA55" s="22"/>
      <c r="AB55" s="22"/>
      <c r="AC55" s="22"/>
    </row>
    <row r="56" spans="1:31" ht="15.75" customHeight="1">
      <c r="A56" s="119" t="s">
        <v>108</v>
      </c>
      <c r="B56" s="17" t="s">
        <v>109</v>
      </c>
      <c r="C56" s="18" t="s">
        <v>21</v>
      </c>
      <c r="D56" s="18" t="s">
        <v>22</v>
      </c>
      <c r="E56" s="19">
        <v>2.91</v>
      </c>
      <c r="F56" s="19">
        <v>2.19</v>
      </c>
      <c r="G56" s="25">
        <v>0.4</v>
      </c>
      <c r="H56" s="26">
        <v>0.3</v>
      </c>
      <c r="I56" s="25">
        <f>J56*200/150</f>
        <v>0</v>
      </c>
      <c r="J56" s="26">
        <v>0</v>
      </c>
      <c r="K56" s="25">
        <v>27.4</v>
      </c>
      <c r="L56" s="26">
        <v>20.5</v>
      </c>
      <c r="M56" s="25">
        <v>111.2</v>
      </c>
      <c r="N56" s="26">
        <v>83.2</v>
      </c>
      <c r="O56" s="20">
        <v>0.02</v>
      </c>
      <c r="P56" s="20">
        <f>O56*150/200</f>
        <v>0.015</v>
      </c>
      <c r="Q56" s="20">
        <v>0.01</v>
      </c>
      <c r="R56" s="20">
        <f>Q56*150/200</f>
        <v>0.0075</v>
      </c>
      <c r="S56" s="20">
        <v>0</v>
      </c>
      <c r="T56" s="20">
        <v>0</v>
      </c>
      <c r="U56" s="29">
        <v>25.91</v>
      </c>
      <c r="V56" s="20">
        <f>U56*150/200</f>
        <v>19.4325</v>
      </c>
      <c r="W56" s="29">
        <v>0.65</v>
      </c>
      <c r="X56" s="75">
        <f>W56*150/200</f>
        <v>0.4875</v>
      </c>
      <c r="Y56" s="22"/>
      <c r="Z56" s="22"/>
      <c r="AA56" s="22"/>
      <c r="AB56" s="22"/>
      <c r="AC56" s="22"/>
      <c r="AD56" s="22"/>
      <c r="AE56" s="22"/>
    </row>
    <row r="57" spans="1:31" s="67" customFormat="1" ht="15" customHeight="1">
      <c r="A57" s="118"/>
      <c r="B57" s="58" t="s">
        <v>30</v>
      </c>
      <c r="C57" s="59" t="s">
        <v>31</v>
      </c>
      <c r="D57" s="59" t="s">
        <v>31</v>
      </c>
      <c r="E57" s="60">
        <v>1.11</v>
      </c>
      <c r="F57" s="60">
        <v>1.11</v>
      </c>
      <c r="G57" s="60">
        <v>1.6</v>
      </c>
      <c r="H57" s="60">
        <v>1.6</v>
      </c>
      <c r="I57" s="60">
        <v>0.4</v>
      </c>
      <c r="J57" s="60">
        <v>0.4</v>
      </c>
      <c r="K57" s="60">
        <v>10</v>
      </c>
      <c r="L57" s="60">
        <v>10</v>
      </c>
      <c r="M57" s="61">
        <v>54</v>
      </c>
      <c r="N57" s="61">
        <v>54</v>
      </c>
      <c r="O57" s="64">
        <v>0.04</v>
      </c>
      <c r="P57" s="65">
        <v>0.04</v>
      </c>
      <c r="Q57" s="64">
        <v>0.02</v>
      </c>
      <c r="R57" s="65">
        <v>0.02</v>
      </c>
      <c r="S57" s="64">
        <v>0</v>
      </c>
      <c r="T57" s="65">
        <v>0</v>
      </c>
      <c r="U57" s="64">
        <v>7.4</v>
      </c>
      <c r="V57" s="65">
        <v>7.4</v>
      </c>
      <c r="W57" s="64">
        <v>0.56</v>
      </c>
      <c r="X57" s="65">
        <v>0.56</v>
      </c>
      <c r="Y57" s="66"/>
      <c r="Z57" s="66"/>
      <c r="AA57" s="66"/>
      <c r="AB57" s="66"/>
      <c r="AC57" s="66"/>
      <c r="AD57" s="66"/>
      <c r="AE57" s="66"/>
    </row>
    <row r="58" spans="1:31" ht="15" customHeight="1">
      <c r="A58" s="118"/>
      <c r="B58" s="58" t="s">
        <v>32</v>
      </c>
      <c r="C58" s="59" t="s">
        <v>75</v>
      </c>
      <c r="D58" s="59" t="s">
        <v>76</v>
      </c>
      <c r="E58" s="60">
        <v>2.09</v>
      </c>
      <c r="F58" s="60">
        <v>1.83</v>
      </c>
      <c r="G58" s="60">
        <v>3.25</v>
      </c>
      <c r="H58" s="61">
        <v>2.84</v>
      </c>
      <c r="I58" s="61">
        <v>0.46</v>
      </c>
      <c r="J58" s="61">
        <f>I58*40.6/46</f>
        <v>0.406</v>
      </c>
      <c r="K58" s="61">
        <v>20.88</v>
      </c>
      <c r="L58" s="61">
        <v>18.27</v>
      </c>
      <c r="M58" s="61">
        <v>102.08</v>
      </c>
      <c r="N58" s="61">
        <v>89.32</v>
      </c>
      <c r="O58" s="62">
        <v>0.06</v>
      </c>
      <c r="P58" s="68">
        <v>0.04</v>
      </c>
      <c r="Q58" s="62">
        <v>0.04</v>
      </c>
      <c r="R58" s="68">
        <v>0.03</v>
      </c>
      <c r="S58" s="62">
        <v>0</v>
      </c>
      <c r="T58" s="61">
        <f>S58*40.6/46</f>
        <v>0</v>
      </c>
      <c r="U58" s="64">
        <v>17</v>
      </c>
      <c r="V58" s="65">
        <v>13.6</v>
      </c>
      <c r="W58" s="64">
        <v>1.15</v>
      </c>
      <c r="X58" s="65">
        <v>0.92</v>
      </c>
      <c r="Y58" s="22"/>
      <c r="Z58" s="22"/>
      <c r="AA58" s="22"/>
      <c r="AB58" s="22"/>
      <c r="AC58" s="22"/>
      <c r="AD58" s="22"/>
      <c r="AE58" s="22"/>
    </row>
    <row r="59" spans="1:32" ht="15" customHeight="1">
      <c r="A59" s="16"/>
      <c r="B59" s="17" t="s">
        <v>23</v>
      </c>
      <c r="C59" s="18"/>
      <c r="D59" s="18"/>
      <c r="E59" s="28">
        <f>SUM(E52:E58)</f>
        <v>43.18000000000001</v>
      </c>
      <c r="F59" s="28">
        <f>SUM(F52:F58)</f>
        <v>38.91</v>
      </c>
      <c r="G59" s="28">
        <f>SUM(G52:G58)-2</f>
        <v>22.60666666666667</v>
      </c>
      <c r="H59" s="28">
        <f>SUM(H52:H58)-2</f>
        <v>20.12</v>
      </c>
      <c r="I59" s="28">
        <f>SUM(I52:I58)</f>
        <v>26.380000000000003</v>
      </c>
      <c r="J59" s="28">
        <f>SUM(J52:J58)</f>
        <v>22.91933333333333</v>
      </c>
      <c r="K59" s="28">
        <f>SUM(K52:K58)+8</f>
        <v>103.82999999999998</v>
      </c>
      <c r="L59" s="28">
        <f>SUM(L52:L58)+0</f>
        <v>76.33666666666666</v>
      </c>
      <c r="M59" s="28">
        <f>SUM(M52:M58)-0</f>
        <v>725.1800000000001</v>
      </c>
      <c r="N59" s="28">
        <f>SUM(N52:N58)-23</f>
        <v>582.6699999999998</v>
      </c>
      <c r="O59" s="28">
        <f>SUM(O52:O58)</f>
        <v>0.32999999999999996</v>
      </c>
      <c r="P59" s="28">
        <f>SUM(P52:P58)</f>
        <v>0.29</v>
      </c>
      <c r="Q59" s="28">
        <f>SUM(Q52:Q58)</f>
        <v>0.28</v>
      </c>
      <c r="R59" s="28">
        <f>SUM(R52:R58)</f>
        <v>0.27249999999999996</v>
      </c>
      <c r="S59" s="28">
        <f>SUM(S52:S58)-6</f>
        <v>31.57</v>
      </c>
      <c r="T59" s="28">
        <f>SUM(T52:T58)-1</f>
        <v>25.316666666666666</v>
      </c>
      <c r="U59" s="28">
        <f aca="true" t="shared" si="13" ref="U59:AB59">SUM(U52:U58)-7</f>
        <v>103.73</v>
      </c>
      <c r="V59" s="28">
        <f t="shared" si="13"/>
        <v>84.04</v>
      </c>
      <c r="W59" s="28">
        <f t="shared" si="13"/>
        <v>-1.7699999999999996</v>
      </c>
      <c r="X59" s="28">
        <f t="shared" si="13"/>
        <v>-2.4825</v>
      </c>
      <c r="Y59" s="28">
        <f t="shared" si="13"/>
        <v>-7</v>
      </c>
      <c r="Z59" s="28">
        <f t="shared" si="13"/>
        <v>-7</v>
      </c>
      <c r="AA59" s="28">
        <f t="shared" si="13"/>
        <v>-7</v>
      </c>
      <c r="AB59" s="28">
        <f t="shared" si="13"/>
        <v>-7</v>
      </c>
      <c r="AC59" s="73"/>
      <c r="AD59" s="73"/>
      <c r="AE59" s="22"/>
      <c r="AF59" s="22"/>
    </row>
    <row r="60" spans="1:32" ht="15" customHeight="1">
      <c r="A60" s="16"/>
      <c r="B60" s="87" t="s">
        <v>42</v>
      </c>
      <c r="C60" s="18"/>
      <c r="D60" s="18"/>
      <c r="E60" s="19"/>
      <c r="F60" s="19"/>
      <c r="G60" s="19"/>
      <c r="H60" s="20"/>
      <c r="I60" s="20"/>
      <c r="J60" s="20"/>
      <c r="K60" s="20"/>
      <c r="L60" s="20"/>
      <c r="M60" s="20"/>
      <c r="N60" s="20"/>
      <c r="O60" s="29"/>
      <c r="P60" s="29"/>
      <c r="Q60" s="29"/>
      <c r="R60" s="29"/>
      <c r="S60" s="29"/>
      <c r="T60" s="29"/>
      <c r="U60" s="29"/>
      <c r="V60" s="29"/>
      <c r="W60" s="29"/>
      <c r="X60" s="77"/>
      <c r="Y60" s="22"/>
      <c r="Z60" s="37"/>
      <c r="AA60" s="37"/>
      <c r="AB60" s="37"/>
      <c r="AC60" s="22"/>
      <c r="AD60" s="22"/>
      <c r="AE60" s="22"/>
      <c r="AF60" s="22"/>
    </row>
    <row r="61" spans="1:31" ht="15" customHeight="1">
      <c r="A61" s="118" t="s">
        <v>34</v>
      </c>
      <c r="B61" s="58" t="s">
        <v>35</v>
      </c>
      <c r="C61" s="59" t="s">
        <v>26</v>
      </c>
      <c r="D61" s="59" t="s">
        <v>26</v>
      </c>
      <c r="E61" s="60">
        <v>10.36</v>
      </c>
      <c r="F61" s="60">
        <v>10.36</v>
      </c>
      <c r="G61" s="60">
        <v>5.31</v>
      </c>
      <c r="H61" s="61">
        <v>5.31</v>
      </c>
      <c r="I61" s="60">
        <v>4.5</v>
      </c>
      <c r="J61" s="61">
        <v>4.5</v>
      </c>
      <c r="K61" s="60">
        <v>8.91</v>
      </c>
      <c r="L61" s="61">
        <v>8.91</v>
      </c>
      <c r="M61" s="60">
        <v>97.38</v>
      </c>
      <c r="N61" s="61">
        <v>97.38</v>
      </c>
      <c r="O61" s="60">
        <v>0.07</v>
      </c>
      <c r="P61" s="61">
        <v>0.07</v>
      </c>
      <c r="Q61" s="60">
        <v>0.3</v>
      </c>
      <c r="R61" s="61">
        <v>0.3</v>
      </c>
      <c r="S61" s="60">
        <v>2.46</v>
      </c>
      <c r="T61" s="61">
        <v>2.46</v>
      </c>
      <c r="U61" s="60">
        <v>275.74</v>
      </c>
      <c r="V61" s="61">
        <v>275.74</v>
      </c>
      <c r="W61" s="60">
        <v>0.23</v>
      </c>
      <c r="X61" s="61">
        <v>0.23</v>
      </c>
      <c r="Y61" s="37"/>
      <c r="Z61" s="37"/>
      <c r="AA61" s="37"/>
      <c r="AB61" s="37"/>
      <c r="AC61" s="37"/>
      <c r="AD61" s="37"/>
      <c r="AE61" s="22"/>
    </row>
    <row r="62" spans="1:32" ht="15" customHeight="1">
      <c r="A62" s="16"/>
      <c r="B62" s="17" t="s">
        <v>23</v>
      </c>
      <c r="C62" s="18"/>
      <c r="D62" s="18"/>
      <c r="E62" s="28">
        <f>SUM(E61)</f>
        <v>10.36</v>
      </c>
      <c r="F62" s="28">
        <f>SUM(F61)</f>
        <v>10.36</v>
      </c>
      <c r="G62" s="28">
        <f aca="true" t="shared" si="14" ref="G62:T62">SUM(G61)</f>
        <v>5.31</v>
      </c>
      <c r="H62" s="28">
        <f t="shared" si="14"/>
        <v>5.31</v>
      </c>
      <c r="I62" s="28">
        <f t="shared" si="14"/>
        <v>4.5</v>
      </c>
      <c r="J62" s="28">
        <f t="shared" si="14"/>
        <v>4.5</v>
      </c>
      <c r="K62" s="28">
        <f t="shared" si="14"/>
        <v>8.91</v>
      </c>
      <c r="L62" s="28">
        <f t="shared" si="14"/>
        <v>8.91</v>
      </c>
      <c r="M62" s="28">
        <f t="shared" si="14"/>
        <v>97.38</v>
      </c>
      <c r="N62" s="28">
        <f t="shared" si="14"/>
        <v>97.38</v>
      </c>
      <c r="O62" s="28">
        <f t="shared" si="14"/>
        <v>0.07</v>
      </c>
      <c r="P62" s="28">
        <f t="shared" si="14"/>
        <v>0.07</v>
      </c>
      <c r="Q62" s="28">
        <f t="shared" si="14"/>
        <v>0.3</v>
      </c>
      <c r="R62" s="28">
        <f t="shared" si="14"/>
        <v>0.3</v>
      </c>
      <c r="S62" s="28">
        <f t="shared" si="14"/>
        <v>2.46</v>
      </c>
      <c r="T62" s="28">
        <f t="shared" si="14"/>
        <v>2.46</v>
      </c>
      <c r="U62" s="28">
        <f>SUM(U61)</f>
        <v>275.74</v>
      </c>
      <c r="V62" s="28">
        <f>SUM(V61)</f>
        <v>275.74</v>
      </c>
      <c r="W62" s="28">
        <f>SUM(W61)</f>
        <v>0.23</v>
      </c>
      <c r="X62" s="76">
        <f>SUM(X61)</f>
        <v>0.23</v>
      </c>
      <c r="Y62" s="73"/>
      <c r="Z62" s="73"/>
      <c r="AA62" s="73"/>
      <c r="AB62" s="73"/>
      <c r="AC62" s="73"/>
      <c r="AD62" s="73"/>
      <c r="AE62" s="22"/>
      <c r="AF62" s="22"/>
    </row>
    <row r="63" spans="1:32" ht="15" customHeight="1">
      <c r="A63" s="16"/>
      <c r="B63" s="87" t="s">
        <v>36</v>
      </c>
      <c r="C63" s="18"/>
      <c r="D63" s="18"/>
      <c r="E63" s="19"/>
      <c r="F63" s="19"/>
      <c r="G63" s="19"/>
      <c r="H63" s="20"/>
      <c r="I63" s="20"/>
      <c r="J63" s="20"/>
      <c r="K63" s="20"/>
      <c r="L63" s="20"/>
      <c r="M63" s="20"/>
      <c r="N63" s="20"/>
      <c r="O63" s="29"/>
      <c r="P63" s="29"/>
      <c r="Q63" s="29"/>
      <c r="R63" s="29"/>
      <c r="S63" s="29"/>
      <c r="T63" s="29"/>
      <c r="U63" s="29"/>
      <c r="V63" s="29"/>
      <c r="W63" s="29"/>
      <c r="X63" s="77"/>
      <c r="Y63" s="22"/>
      <c r="Z63" s="37"/>
      <c r="AA63" s="37"/>
      <c r="AB63" s="37"/>
      <c r="AC63" s="22"/>
      <c r="AD63" s="22"/>
      <c r="AE63" s="22"/>
      <c r="AF63" s="22"/>
    </row>
    <row r="64" spans="1:29" ht="16.5" customHeight="1">
      <c r="A64" s="119" t="s">
        <v>124</v>
      </c>
      <c r="B64" s="58" t="s">
        <v>125</v>
      </c>
      <c r="C64" s="59" t="s">
        <v>28</v>
      </c>
      <c r="D64" s="59" t="s">
        <v>159</v>
      </c>
      <c r="E64" s="60">
        <v>1.32</v>
      </c>
      <c r="F64" s="60">
        <v>0.99</v>
      </c>
      <c r="G64" s="60">
        <f>H64*60/45</f>
        <v>0.6</v>
      </c>
      <c r="H64" s="61">
        <v>0.45</v>
      </c>
      <c r="I64" s="60">
        <f>J64*60/45</f>
        <v>0.06666666666666667</v>
      </c>
      <c r="J64" s="61">
        <v>0.05</v>
      </c>
      <c r="K64" s="60">
        <f>L64*60/45</f>
        <v>6.96</v>
      </c>
      <c r="L64" s="61">
        <v>5.22</v>
      </c>
      <c r="M64" s="60">
        <f>N64*60/45</f>
        <v>30</v>
      </c>
      <c r="N64" s="61">
        <v>22.5</v>
      </c>
      <c r="O64" s="61">
        <v>0.02</v>
      </c>
      <c r="P64" s="61">
        <f>O64*45/60</f>
        <v>0.015000000000000001</v>
      </c>
      <c r="Q64" s="61">
        <v>0.02</v>
      </c>
      <c r="R64" s="61">
        <f>Q64*45/60</f>
        <v>0.015000000000000001</v>
      </c>
      <c r="S64" s="60">
        <f>T64*60/45</f>
        <v>2.8800000000000003</v>
      </c>
      <c r="T64" s="61">
        <v>2.16</v>
      </c>
      <c r="U64" s="61">
        <v>6.13</v>
      </c>
      <c r="V64" s="61">
        <f>U64*45/60</f>
        <v>4.5975</v>
      </c>
      <c r="W64" s="61">
        <v>1.04</v>
      </c>
      <c r="X64" s="61">
        <f>W64*45/60</f>
        <v>0.78</v>
      </c>
      <c r="Z64" s="22"/>
      <c r="AA64" s="22"/>
      <c r="AB64" s="22"/>
      <c r="AC64" s="22"/>
    </row>
    <row r="65" spans="1:31" ht="26.25" customHeight="1">
      <c r="A65" s="123" t="s">
        <v>119</v>
      </c>
      <c r="B65" s="58" t="s">
        <v>120</v>
      </c>
      <c r="C65" s="59" t="s">
        <v>121</v>
      </c>
      <c r="D65" s="59" t="s">
        <v>62</v>
      </c>
      <c r="E65" s="60">
        <v>49.29</v>
      </c>
      <c r="F65" s="60">
        <v>33.76</v>
      </c>
      <c r="G65" s="60">
        <f>H65*150/100</f>
        <v>22.89</v>
      </c>
      <c r="H65" s="61">
        <v>15.26</v>
      </c>
      <c r="I65" s="60">
        <f>J65*150/100</f>
        <v>15.570000000000002</v>
      </c>
      <c r="J65" s="61">
        <v>10.38</v>
      </c>
      <c r="K65" s="60">
        <f>L65*150/100</f>
        <v>41.055</v>
      </c>
      <c r="L65" s="61">
        <v>27.37</v>
      </c>
      <c r="M65" s="60">
        <f>N65*150/100</f>
        <v>396</v>
      </c>
      <c r="N65" s="61">
        <v>264</v>
      </c>
      <c r="O65" s="60">
        <f>P65*150/100</f>
        <v>0.10500000000000002</v>
      </c>
      <c r="P65" s="61">
        <v>0.07</v>
      </c>
      <c r="Q65" s="60">
        <f>R65*150/100</f>
        <v>0.435</v>
      </c>
      <c r="R65" s="61">
        <v>0.29</v>
      </c>
      <c r="S65" s="60">
        <f>T65*150/100</f>
        <v>0.765</v>
      </c>
      <c r="T65" s="61">
        <v>0.51</v>
      </c>
      <c r="U65" s="60">
        <f>V65*150/100</f>
        <v>211.92</v>
      </c>
      <c r="V65" s="61">
        <v>141.28</v>
      </c>
      <c r="W65" s="60">
        <f>X65*150/100</f>
        <v>1.425</v>
      </c>
      <c r="X65" s="61">
        <v>0.95</v>
      </c>
      <c r="Y65" s="32"/>
      <c r="Z65" s="37"/>
      <c r="AA65" s="37"/>
      <c r="AB65" s="37"/>
      <c r="AC65" s="37"/>
      <c r="AD65" s="22"/>
      <c r="AE65" s="22"/>
    </row>
    <row r="66" spans="1:31" ht="15" customHeight="1">
      <c r="A66" s="119" t="s">
        <v>90</v>
      </c>
      <c r="B66" s="23" t="s">
        <v>91</v>
      </c>
      <c r="C66" s="18" t="s">
        <v>21</v>
      </c>
      <c r="D66" s="18" t="s">
        <v>22</v>
      </c>
      <c r="E66" s="19">
        <v>0.51</v>
      </c>
      <c r="F66" s="19">
        <v>0.38</v>
      </c>
      <c r="G66" s="19">
        <v>0.18</v>
      </c>
      <c r="H66" s="20">
        <v>0.13</v>
      </c>
      <c r="I66" s="19">
        <f>J66*200/150</f>
        <v>0</v>
      </c>
      <c r="J66" s="20">
        <v>0</v>
      </c>
      <c r="K66" s="19">
        <v>4.78</v>
      </c>
      <c r="L66" s="20">
        <v>3.58</v>
      </c>
      <c r="M66" s="19">
        <v>19.9</v>
      </c>
      <c r="N66" s="20">
        <v>14.92</v>
      </c>
      <c r="O66" s="19">
        <f>P66*200/150</f>
        <v>0.013333333333333334</v>
      </c>
      <c r="P66" s="29">
        <v>0.01</v>
      </c>
      <c r="Q66" s="19">
        <f>R66*200/150</f>
        <v>0.013333333333333334</v>
      </c>
      <c r="R66" s="29">
        <v>0.01</v>
      </c>
      <c r="S66" s="19">
        <v>0.04</v>
      </c>
      <c r="T66" s="29">
        <v>0.03</v>
      </c>
      <c r="U66" s="19">
        <f>V66*200/150</f>
        <v>5.053333333333334</v>
      </c>
      <c r="V66" s="29">
        <v>3.79</v>
      </c>
      <c r="W66" s="19">
        <f>X66*200/150</f>
        <v>0.84</v>
      </c>
      <c r="X66" s="77">
        <v>0.63</v>
      </c>
      <c r="Y66" s="22"/>
      <c r="Z66" s="22"/>
      <c r="AA66" s="22"/>
      <c r="AB66" s="22"/>
      <c r="AC66" s="22"/>
      <c r="AD66" s="22"/>
      <c r="AE66" s="22"/>
    </row>
    <row r="67" spans="1:31" s="67" customFormat="1" ht="15" customHeight="1">
      <c r="A67" s="118"/>
      <c r="B67" s="58" t="s">
        <v>30</v>
      </c>
      <c r="C67" s="59" t="s">
        <v>31</v>
      </c>
      <c r="D67" s="59" t="s">
        <v>31</v>
      </c>
      <c r="E67" s="60">
        <v>1.11</v>
      </c>
      <c r="F67" s="60">
        <v>1.11</v>
      </c>
      <c r="G67" s="60">
        <v>1.6</v>
      </c>
      <c r="H67" s="60">
        <v>1.6</v>
      </c>
      <c r="I67" s="60">
        <v>0.4</v>
      </c>
      <c r="J67" s="60">
        <v>0.4</v>
      </c>
      <c r="K67" s="60">
        <v>10</v>
      </c>
      <c r="L67" s="60">
        <v>10</v>
      </c>
      <c r="M67" s="61">
        <v>54</v>
      </c>
      <c r="N67" s="61">
        <v>54</v>
      </c>
      <c r="O67" s="64">
        <v>0.04</v>
      </c>
      <c r="P67" s="65">
        <v>0.04</v>
      </c>
      <c r="Q67" s="64">
        <v>0.02</v>
      </c>
      <c r="R67" s="65">
        <v>0.02</v>
      </c>
      <c r="S67" s="64">
        <v>0</v>
      </c>
      <c r="T67" s="65">
        <v>0</v>
      </c>
      <c r="U67" s="64">
        <v>7.4</v>
      </c>
      <c r="V67" s="65">
        <v>7.4</v>
      </c>
      <c r="W67" s="64">
        <v>0.56</v>
      </c>
      <c r="X67" s="65">
        <v>0.56</v>
      </c>
      <c r="Y67" s="66"/>
      <c r="Z67" s="66"/>
      <c r="AA67" s="66"/>
      <c r="AB67" s="66"/>
      <c r="AC67" s="66"/>
      <c r="AD67" s="66"/>
      <c r="AE67" s="66"/>
    </row>
    <row r="68" spans="1:32" ht="15" customHeight="1">
      <c r="A68" s="16"/>
      <c r="B68" s="17" t="s">
        <v>23</v>
      </c>
      <c r="C68" s="18"/>
      <c r="D68" s="18"/>
      <c r="E68" s="28">
        <f>SUM(E64:E67)</f>
        <v>52.23</v>
      </c>
      <c r="F68" s="28">
        <f>SUM(F64:F67)</f>
        <v>36.24</v>
      </c>
      <c r="G68" s="28">
        <f aca="true" t="shared" si="15" ref="G68:T68">SUM(G64:G67)</f>
        <v>25.270000000000003</v>
      </c>
      <c r="H68" s="28">
        <f t="shared" si="15"/>
        <v>17.44</v>
      </c>
      <c r="I68" s="28">
        <f t="shared" si="15"/>
        <v>16.03666666666667</v>
      </c>
      <c r="J68" s="28">
        <f t="shared" si="15"/>
        <v>10.830000000000002</v>
      </c>
      <c r="K68" s="28">
        <f t="shared" si="15"/>
        <v>62.795</v>
      </c>
      <c r="L68" s="28">
        <f t="shared" si="15"/>
        <v>46.17</v>
      </c>
      <c r="M68" s="28">
        <f t="shared" si="15"/>
        <v>499.9</v>
      </c>
      <c r="N68" s="28">
        <f t="shared" si="15"/>
        <v>355.42</v>
      </c>
      <c r="O68" s="28">
        <f t="shared" si="15"/>
        <v>0.17833333333333337</v>
      </c>
      <c r="P68" s="28">
        <f t="shared" si="15"/>
        <v>0.135</v>
      </c>
      <c r="Q68" s="28">
        <f t="shared" si="15"/>
        <v>0.48833333333333334</v>
      </c>
      <c r="R68" s="28">
        <f t="shared" si="15"/>
        <v>0.335</v>
      </c>
      <c r="S68" s="28">
        <f t="shared" si="15"/>
        <v>3.6850000000000005</v>
      </c>
      <c r="T68" s="28">
        <f t="shared" si="15"/>
        <v>2.6999999999999997</v>
      </c>
      <c r="U68" s="28">
        <f aca="true" t="shared" si="16" ref="U68:AB68">SUM(U64:U67)</f>
        <v>230.50333333333333</v>
      </c>
      <c r="V68" s="28">
        <f t="shared" si="16"/>
        <v>157.0675</v>
      </c>
      <c r="W68" s="28">
        <f t="shared" si="16"/>
        <v>3.8649999999999998</v>
      </c>
      <c r="X68" s="28">
        <f t="shared" si="16"/>
        <v>2.92</v>
      </c>
      <c r="Y68" s="28">
        <f t="shared" si="16"/>
        <v>0</v>
      </c>
      <c r="Z68" s="28">
        <f t="shared" si="16"/>
        <v>0</v>
      </c>
      <c r="AA68" s="28">
        <f t="shared" si="16"/>
        <v>0</v>
      </c>
      <c r="AB68" s="28">
        <f t="shared" si="16"/>
        <v>0</v>
      </c>
      <c r="AC68" s="73"/>
      <c r="AD68" s="22"/>
      <c r="AE68" s="22"/>
      <c r="AF68" s="22"/>
    </row>
    <row r="69" spans="1:32" ht="15" customHeight="1">
      <c r="A69" s="16"/>
      <c r="B69" s="17" t="s">
        <v>37</v>
      </c>
      <c r="C69" s="18"/>
      <c r="D69" s="18"/>
      <c r="E69" s="28">
        <f aca="true" t="shared" si="17" ref="E69:X69">E68+E62+E59+E50+E47</f>
        <v>128.20000000000002</v>
      </c>
      <c r="F69" s="28">
        <f t="shared" si="17"/>
        <v>104.57</v>
      </c>
      <c r="G69" s="28">
        <f t="shared" si="17"/>
        <v>64.69666666666667</v>
      </c>
      <c r="H69" s="28">
        <f t="shared" si="17"/>
        <v>52.43000000000001</v>
      </c>
      <c r="I69" s="28">
        <f t="shared" si="17"/>
        <v>57.91666666666667</v>
      </c>
      <c r="J69" s="28">
        <f t="shared" si="17"/>
        <v>47.17933333333333</v>
      </c>
      <c r="K69" s="28">
        <f t="shared" si="17"/>
        <v>231.57499999999996</v>
      </c>
      <c r="L69" s="28">
        <f t="shared" si="17"/>
        <v>177.70666666666668</v>
      </c>
      <c r="M69" s="28">
        <f t="shared" si="17"/>
        <v>1692.21</v>
      </c>
      <c r="N69" s="28">
        <f t="shared" si="17"/>
        <v>1339.4199999999998</v>
      </c>
      <c r="O69" s="28">
        <f t="shared" si="17"/>
        <v>0.7603333333333333</v>
      </c>
      <c r="P69" s="28">
        <f t="shared" si="17"/>
        <v>0.6258333333333334</v>
      </c>
      <c r="Q69" s="28">
        <f t="shared" si="17"/>
        <v>1.3763333333333334</v>
      </c>
      <c r="R69" s="28">
        <f t="shared" si="17"/>
        <v>1.1425</v>
      </c>
      <c r="S69" s="28">
        <f t="shared" si="17"/>
        <v>43.925000000000004</v>
      </c>
      <c r="T69" s="28">
        <f t="shared" si="17"/>
        <v>35.861666666666665</v>
      </c>
      <c r="U69" s="28">
        <f t="shared" si="17"/>
        <v>877.6053333333334</v>
      </c>
      <c r="V69" s="28">
        <f t="shared" si="17"/>
        <v>717.2975</v>
      </c>
      <c r="W69" s="28">
        <f t="shared" si="17"/>
        <v>4.071</v>
      </c>
      <c r="X69" s="76">
        <f t="shared" si="17"/>
        <v>1.9525000000000001</v>
      </c>
      <c r="Y69" s="73"/>
      <c r="Z69" s="73"/>
      <c r="AA69" s="73"/>
      <c r="AB69" s="73"/>
      <c r="AC69" s="73"/>
      <c r="AD69" s="22"/>
      <c r="AE69" s="22"/>
      <c r="AF69" s="22"/>
    </row>
    <row r="70" spans="1:32" ht="15" customHeight="1">
      <c r="A70" s="16"/>
      <c r="B70" s="85" t="s">
        <v>141</v>
      </c>
      <c r="C70" s="18"/>
      <c r="D70" s="18"/>
      <c r="E70" s="28"/>
      <c r="F70" s="19"/>
      <c r="G70" s="19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77"/>
      <c r="Y70" s="22"/>
      <c r="Z70" s="37"/>
      <c r="AA70" s="37"/>
      <c r="AB70" s="37"/>
      <c r="AC70" s="22"/>
      <c r="AD70" s="22"/>
      <c r="AE70" s="22"/>
      <c r="AF70" s="22"/>
    </row>
    <row r="71" spans="1:32" ht="15" customHeight="1">
      <c r="A71" s="16"/>
      <c r="B71" s="87" t="s">
        <v>17</v>
      </c>
      <c r="C71" s="18"/>
      <c r="D71" s="18"/>
      <c r="E71" s="19"/>
      <c r="F71" s="19"/>
      <c r="G71" s="19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77"/>
      <c r="Y71" s="22"/>
      <c r="Z71" s="37"/>
      <c r="AA71" s="37"/>
      <c r="AB71" s="37"/>
      <c r="AC71" s="22"/>
      <c r="AD71" s="22"/>
      <c r="AE71" s="22"/>
      <c r="AF71" s="22"/>
    </row>
    <row r="72" spans="1:30" s="31" customFormat="1" ht="15" customHeight="1">
      <c r="A72" s="118" t="s">
        <v>38</v>
      </c>
      <c r="B72" s="58" t="s">
        <v>39</v>
      </c>
      <c r="C72" s="59" t="s">
        <v>86</v>
      </c>
      <c r="D72" s="59" t="s">
        <v>86</v>
      </c>
      <c r="E72" s="60">
        <v>4.03</v>
      </c>
      <c r="F72" s="60">
        <v>4.03</v>
      </c>
      <c r="G72" s="60">
        <v>1.63</v>
      </c>
      <c r="H72" s="61">
        <v>1.63</v>
      </c>
      <c r="I72" s="61">
        <v>4.7</v>
      </c>
      <c r="J72" s="61">
        <v>4.7</v>
      </c>
      <c r="K72" s="61">
        <v>10.4</v>
      </c>
      <c r="L72" s="61">
        <v>10.4</v>
      </c>
      <c r="M72" s="61">
        <v>90.42</v>
      </c>
      <c r="N72" s="61">
        <v>90.42</v>
      </c>
      <c r="O72" s="62">
        <v>0.08</v>
      </c>
      <c r="P72" s="68">
        <v>0.05</v>
      </c>
      <c r="Q72" s="62">
        <v>0.04</v>
      </c>
      <c r="R72" s="68">
        <v>0.02</v>
      </c>
      <c r="S72" s="62">
        <v>0</v>
      </c>
      <c r="T72" s="61">
        <f>S72*25/45</f>
        <v>0</v>
      </c>
      <c r="U72" s="64">
        <v>13.6</v>
      </c>
      <c r="V72" s="65">
        <v>8.6</v>
      </c>
      <c r="W72" s="64">
        <v>0.81</v>
      </c>
      <c r="X72" s="65">
        <v>0.49</v>
      </c>
      <c r="Y72" s="30"/>
      <c r="Z72" s="30"/>
      <c r="AA72" s="30"/>
      <c r="AB72" s="30"/>
      <c r="AC72" s="30"/>
      <c r="AD72" s="30"/>
    </row>
    <row r="73" spans="1:31" ht="24.75" customHeight="1">
      <c r="A73" s="119" t="s">
        <v>45</v>
      </c>
      <c r="B73" s="17" t="s">
        <v>102</v>
      </c>
      <c r="C73" s="71" t="s">
        <v>92</v>
      </c>
      <c r="D73" s="71" t="s">
        <v>93</v>
      </c>
      <c r="E73" s="34">
        <v>12.03</v>
      </c>
      <c r="F73" s="34">
        <v>9.4</v>
      </c>
      <c r="G73" s="34">
        <v>3.1</v>
      </c>
      <c r="H73" s="34">
        <v>2.4</v>
      </c>
      <c r="I73" s="34">
        <v>5</v>
      </c>
      <c r="J73" s="34">
        <v>3.8</v>
      </c>
      <c r="K73" s="34">
        <v>21.1</v>
      </c>
      <c r="L73" s="34">
        <v>16</v>
      </c>
      <c r="M73" s="34">
        <v>140</v>
      </c>
      <c r="N73" s="34">
        <v>107.8</v>
      </c>
      <c r="O73" s="114">
        <v>0.1</v>
      </c>
      <c r="P73" s="115">
        <f>O73*150/200</f>
        <v>0.075</v>
      </c>
      <c r="Q73" s="114">
        <v>0.25</v>
      </c>
      <c r="R73" s="115">
        <f>Q73*150/200</f>
        <v>0.1875</v>
      </c>
      <c r="S73" s="114">
        <v>0</v>
      </c>
      <c r="T73" s="34">
        <f>S73*153/203</f>
        <v>0</v>
      </c>
      <c r="U73" s="25">
        <v>175.2</v>
      </c>
      <c r="V73" s="20">
        <v>164.9</v>
      </c>
      <c r="W73" s="25">
        <v>0.9</v>
      </c>
      <c r="X73" s="75">
        <f>W73*150/200</f>
        <v>0.675</v>
      </c>
      <c r="Y73" s="22"/>
      <c r="Z73" s="22"/>
      <c r="AA73" s="22"/>
      <c r="AB73" s="22"/>
      <c r="AC73" s="22"/>
      <c r="AD73" s="22"/>
      <c r="AE73" s="22"/>
    </row>
    <row r="74" spans="1:31" ht="15" customHeight="1">
      <c r="A74" s="118" t="s">
        <v>46</v>
      </c>
      <c r="B74" s="58" t="s">
        <v>47</v>
      </c>
      <c r="C74" s="59" t="s">
        <v>26</v>
      </c>
      <c r="D74" s="59" t="s">
        <v>22</v>
      </c>
      <c r="E74" s="60">
        <v>5.87</v>
      </c>
      <c r="F74" s="60">
        <v>4.89</v>
      </c>
      <c r="G74" s="62">
        <v>2.95</v>
      </c>
      <c r="H74" s="62">
        <v>2.46</v>
      </c>
      <c r="I74" s="62">
        <v>3.24</v>
      </c>
      <c r="J74" s="62">
        <v>2.7</v>
      </c>
      <c r="K74" s="62">
        <v>22.82</v>
      </c>
      <c r="L74" s="62">
        <v>19.02</v>
      </c>
      <c r="M74" s="62">
        <v>132.26</v>
      </c>
      <c r="N74" s="61">
        <v>110.22</v>
      </c>
      <c r="O74" s="62">
        <f>P74*180/150</f>
        <v>0.024</v>
      </c>
      <c r="P74" s="68">
        <v>0.02</v>
      </c>
      <c r="Q74" s="62">
        <f>R74*180/150</f>
        <v>0.12</v>
      </c>
      <c r="R74" s="68">
        <v>0.1</v>
      </c>
      <c r="S74" s="62">
        <v>1.43</v>
      </c>
      <c r="T74" s="68">
        <v>1.2</v>
      </c>
      <c r="U74" s="62">
        <f>V74*180/150</f>
        <v>109.58399999999999</v>
      </c>
      <c r="V74" s="68">
        <v>91.32</v>
      </c>
      <c r="W74" s="62">
        <f>X74*180/150</f>
        <v>0.36</v>
      </c>
      <c r="X74" s="68">
        <v>0.3</v>
      </c>
      <c r="Y74" s="22"/>
      <c r="Z74" s="22"/>
      <c r="AA74" s="22"/>
      <c r="AB74" s="22"/>
      <c r="AC74" s="22"/>
      <c r="AD74" s="22"/>
      <c r="AE74" s="22"/>
    </row>
    <row r="75" spans="1:32" ht="15" customHeight="1">
      <c r="A75" s="16"/>
      <c r="B75" s="17" t="s">
        <v>23</v>
      </c>
      <c r="C75" s="18"/>
      <c r="D75" s="18"/>
      <c r="E75" s="28">
        <f>SUM(E72:E74)</f>
        <v>21.93</v>
      </c>
      <c r="F75" s="28">
        <f>SUM(F72:F74)</f>
        <v>18.32</v>
      </c>
      <c r="G75" s="28">
        <f aca="true" t="shared" si="18" ref="G75:T75">SUM(G72:G74)</f>
        <v>7.680000000000001</v>
      </c>
      <c r="H75" s="28">
        <f t="shared" si="18"/>
        <v>6.489999999999999</v>
      </c>
      <c r="I75" s="28">
        <f t="shared" si="18"/>
        <v>12.94</v>
      </c>
      <c r="J75" s="28">
        <f t="shared" si="18"/>
        <v>11.2</v>
      </c>
      <c r="K75" s="28">
        <f t="shared" si="18"/>
        <v>54.32</v>
      </c>
      <c r="L75" s="28">
        <f t="shared" si="18"/>
        <v>45.42</v>
      </c>
      <c r="M75" s="28">
        <f t="shared" si="18"/>
        <v>362.68</v>
      </c>
      <c r="N75" s="28">
        <f t="shared" si="18"/>
        <v>308.44</v>
      </c>
      <c r="O75" s="28">
        <f t="shared" si="18"/>
        <v>0.204</v>
      </c>
      <c r="P75" s="28">
        <f t="shared" si="18"/>
        <v>0.145</v>
      </c>
      <c r="Q75" s="28">
        <f t="shared" si="18"/>
        <v>0.41</v>
      </c>
      <c r="R75" s="28">
        <f t="shared" si="18"/>
        <v>0.3075</v>
      </c>
      <c r="S75" s="28">
        <f t="shared" si="18"/>
        <v>1.43</v>
      </c>
      <c r="T75" s="28">
        <f t="shared" si="18"/>
        <v>1.2</v>
      </c>
      <c r="U75" s="28">
        <f aca="true" t="shared" si="19" ref="U75:AB75">SUM(U72:U74)</f>
        <v>298.38399999999996</v>
      </c>
      <c r="V75" s="28">
        <f t="shared" si="19"/>
        <v>264.82</v>
      </c>
      <c r="W75" s="28">
        <f t="shared" si="19"/>
        <v>2.07</v>
      </c>
      <c r="X75" s="28">
        <f t="shared" si="19"/>
        <v>1.465</v>
      </c>
      <c r="Y75" s="28">
        <f t="shared" si="19"/>
        <v>0</v>
      </c>
      <c r="Z75" s="28">
        <f t="shared" si="19"/>
        <v>0</v>
      </c>
      <c r="AA75" s="28">
        <f t="shared" si="19"/>
        <v>0</v>
      </c>
      <c r="AB75" s="28">
        <f t="shared" si="19"/>
        <v>0</v>
      </c>
      <c r="AC75" s="73"/>
      <c r="AD75" s="73"/>
      <c r="AE75" s="73"/>
      <c r="AF75" s="22"/>
    </row>
    <row r="76" spans="1:32" ht="15" customHeight="1">
      <c r="A76" s="16"/>
      <c r="B76" s="87" t="s">
        <v>41</v>
      </c>
      <c r="C76" s="18"/>
      <c r="D76" s="18"/>
      <c r="E76" s="19"/>
      <c r="F76" s="19"/>
      <c r="G76" s="19"/>
      <c r="H76" s="20"/>
      <c r="I76" s="20"/>
      <c r="J76" s="20"/>
      <c r="K76" s="20"/>
      <c r="L76" s="20"/>
      <c r="M76" s="20"/>
      <c r="N76" s="20"/>
      <c r="O76" s="29"/>
      <c r="P76" s="29"/>
      <c r="Q76" s="29"/>
      <c r="R76" s="29"/>
      <c r="S76" s="29"/>
      <c r="T76" s="29"/>
      <c r="U76" s="29"/>
      <c r="V76" s="29"/>
      <c r="W76" s="29"/>
      <c r="X76" s="77"/>
      <c r="Y76" s="22"/>
      <c r="Z76" s="37"/>
      <c r="AA76" s="37"/>
      <c r="AB76" s="37"/>
      <c r="AC76" s="22"/>
      <c r="AD76" s="22"/>
      <c r="AE76" s="22"/>
      <c r="AF76" s="22"/>
    </row>
    <row r="77" spans="1:30" ht="15" customHeight="1">
      <c r="A77" s="119" t="s">
        <v>43</v>
      </c>
      <c r="B77" s="17" t="s">
        <v>69</v>
      </c>
      <c r="C77" s="18" t="s">
        <v>164</v>
      </c>
      <c r="D77" s="18" t="s">
        <v>135</v>
      </c>
      <c r="E77" s="19">
        <v>14</v>
      </c>
      <c r="F77" s="19">
        <v>11.12</v>
      </c>
      <c r="G77" s="25">
        <f>H77*170/135</f>
        <v>5.1</v>
      </c>
      <c r="H77" s="25">
        <v>4.05</v>
      </c>
      <c r="I77" s="25">
        <f>J77*170/135</f>
        <v>4.256296296296297</v>
      </c>
      <c r="J77" s="25">
        <v>3.38</v>
      </c>
      <c r="K77" s="25">
        <f>L77*170/135</f>
        <v>6.800000000000001</v>
      </c>
      <c r="L77" s="25">
        <v>5.4</v>
      </c>
      <c r="M77" s="25">
        <f>N77*170/135</f>
        <v>85.85629629629629</v>
      </c>
      <c r="N77" s="25">
        <v>68.18</v>
      </c>
      <c r="O77" s="25">
        <f>P77*180/150</f>
        <v>0.06</v>
      </c>
      <c r="P77" s="25">
        <v>0.05</v>
      </c>
      <c r="Q77" s="25">
        <f>R77*180/150</f>
        <v>0.31200000000000006</v>
      </c>
      <c r="R77" s="25">
        <v>0.26</v>
      </c>
      <c r="S77" s="25">
        <f>T77*170/135</f>
        <v>3.4000000000000004</v>
      </c>
      <c r="T77" s="25">
        <v>2.7</v>
      </c>
      <c r="U77" s="60">
        <v>235.31</v>
      </c>
      <c r="V77" s="61">
        <f>U77*150/180</f>
        <v>196.09166666666667</v>
      </c>
      <c r="W77" s="60">
        <v>0.19</v>
      </c>
      <c r="X77" s="81">
        <f>W77*150/180</f>
        <v>0.15833333333333333</v>
      </c>
      <c r="Y77" s="79"/>
      <c r="Z77" s="37"/>
      <c r="AA77" s="37"/>
      <c r="AB77" s="37"/>
      <c r="AC77" s="37"/>
      <c r="AD77" s="37"/>
    </row>
    <row r="78" spans="1:32" ht="15" customHeight="1">
      <c r="A78" s="16"/>
      <c r="B78" s="17" t="s">
        <v>23</v>
      </c>
      <c r="C78" s="18"/>
      <c r="D78" s="18"/>
      <c r="E78" s="28">
        <f>SUM(E77)</f>
        <v>14</v>
      </c>
      <c r="F78" s="28">
        <f>SUM(F77)</f>
        <v>11.12</v>
      </c>
      <c r="G78" s="28">
        <f aca="true" t="shared" si="20" ref="G78:T78">SUM(G77)</f>
        <v>5.1</v>
      </c>
      <c r="H78" s="28">
        <f t="shared" si="20"/>
        <v>4.05</v>
      </c>
      <c r="I78" s="28">
        <f t="shared" si="20"/>
        <v>4.256296296296297</v>
      </c>
      <c r="J78" s="28">
        <f t="shared" si="20"/>
        <v>3.38</v>
      </c>
      <c r="K78" s="28">
        <f t="shared" si="20"/>
        <v>6.800000000000001</v>
      </c>
      <c r="L78" s="28">
        <f t="shared" si="20"/>
        <v>5.4</v>
      </c>
      <c r="M78" s="28">
        <f t="shared" si="20"/>
        <v>85.85629629629629</v>
      </c>
      <c r="N78" s="28">
        <f t="shared" si="20"/>
        <v>68.18</v>
      </c>
      <c r="O78" s="28">
        <f t="shared" si="20"/>
        <v>0.06</v>
      </c>
      <c r="P78" s="28">
        <f t="shared" si="20"/>
        <v>0.05</v>
      </c>
      <c r="Q78" s="28">
        <f t="shared" si="20"/>
        <v>0.31200000000000006</v>
      </c>
      <c r="R78" s="28">
        <f t="shared" si="20"/>
        <v>0.26</v>
      </c>
      <c r="S78" s="28">
        <f t="shared" si="20"/>
        <v>3.4000000000000004</v>
      </c>
      <c r="T78" s="28">
        <f t="shared" si="20"/>
        <v>2.7</v>
      </c>
      <c r="U78" s="28">
        <f>SUM(U77)</f>
        <v>235.31</v>
      </c>
      <c r="V78" s="28">
        <f>SUM(V77)</f>
        <v>196.09166666666667</v>
      </c>
      <c r="W78" s="28">
        <f>SUM(W77)</f>
        <v>0.19</v>
      </c>
      <c r="X78" s="76">
        <f>SUM(X77)</f>
        <v>0.15833333333333333</v>
      </c>
      <c r="Y78" s="73"/>
      <c r="Z78" s="73"/>
      <c r="AA78" s="73"/>
      <c r="AB78" s="73"/>
      <c r="AC78" s="73"/>
      <c r="AD78" s="73"/>
      <c r="AE78" s="73"/>
      <c r="AF78" s="22"/>
    </row>
    <row r="79" spans="1:32" ht="15" customHeight="1">
      <c r="A79" s="16"/>
      <c r="B79" s="87" t="s">
        <v>27</v>
      </c>
      <c r="C79" s="18"/>
      <c r="D79" s="18"/>
      <c r="E79" s="33"/>
      <c r="F79" s="19"/>
      <c r="G79" s="19"/>
      <c r="H79" s="20"/>
      <c r="I79" s="20"/>
      <c r="J79" s="20"/>
      <c r="K79" s="20"/>
      <c r="L79" s="20"/>
      <c r="M79" s="20"/>
      <c r="N79" s="20"/>
      <c r="O79" s="29"/>
      <c r="P79" s="29"/>
      <c r="Q79" s="29"/>
      <c r="R79" s="29"/>
      <c r="S79" s="29"/>
      <c r="T79" s="29"/>
      <c r="U79" s="29"/>
      <c r="V79" s="29"/>
      <c r="W79" s="29"/>
      <c r="X79" s="77"/>
      <c r="Y79" s="22"/>
      <c r="Z79" s="37"/>
      <c r="AA79" s="37"/>
      <c r="AB79" s="37"/>
      <c r="AC79" s="22"/>
      <c r="AD79" s="22"/>
      <c r="AE79" s="22"/>
      <c r="AF79" s="22"/>
    </row>
    <row r="80" spans="1:29" ht="15" customHeight="1">
      <c r="A80" s="119" t="s">
        <v>78</v>
      </c>
      <c r="B80" s="38" t="s">
        <v>107</v>
      </c>
      <c r="C80" s="18" t="s">
        <v>28</v>
      </c>
      <c r="D80" s="18" t="s">
        <v>159</v>
      </c>
      <c r="E80" s="19">
        <v>1.79</v>
      </c>
      <c r="F80" s="19">
        <v>1.34</v>
      </c>
      <c r="G80" s="19">
        <f>H80*60/45</f>
        <v>0.6</v>
      </c>
      <c r="H80" s="20">
        <v>0.45</v>
      </c>
      <c r="I80" s="19">
        <f>J80*60/45</f>
        <v>3</v>
      </c>
      <c r="J80" s="20">
        <v>2.25</v>
      </c>
      <c r="K80" s="19">
        <f>L80*60/45</f>
        <v>6.119999999999999</v>
      </c>
      <c r="L80" s="20">
        <v>4.59</v>
      </c>
      <c r="M80" s="19">
        <f>N80*60/45</f>
        <v>54</v>
      </c>
      <c r="N80" s="20">
        <v>40.5</v>
      </c>
      <c r="O80" s="20"/>
      <c r="P80" s="20"/>
      <c r="Q80" s="20"/>
      <c r="R80" s="20"/>
      <c r="S80" s="19">
        <f>T80*60/45</f>
        <v>13.44</v>
      </c>
      <c r="T80" s="20">
        <v>10.08</v>
      </c>
      <c r="U80" s="20">
        <v>13.18</v>
      </c>
      <c r="V80" s="20">
        <f>U80*45/60</f>
        <v>9.885</v>
      </c>
      <c r="W80" s="20">
        <v>0.62</v>
      </c>
      <c r="X80" s="20">
        <f>W80*45/60</f>
        <v>0.46499999999999997</v>
      </c>
      <c r="Z80" s="22"/>
      <c r="AA80" s="22"/>
      <c r="AB80" s="22"/>
      <c r="AC80" s="22"/>
    </row>
    <row r="81" spans="1:29" ht="39" customHeight="1">
      <c r="A81" s="131" t="s">
        <v>105</v>
      </c>
      <c r="B81" s="63" t="s">
        <v>145</v>
      </c>
      <c r="C81" s="59" t="s">
        <v>146</v>
      </c>
      <c r="D81" s="59" t="s">
        <v>147</v>
      </c>
      <c r="E81" s="60">
        <v>14.05</v>
      </c>
      <c r="F81" s="60">
        <v>13.33</v>
      </c>
      <c r="G81" s="62">
        <v>5.63</v>
      </c>
      <c r="H81" s="62">
        <v>5.23</v>
      </c>
      <c r="I81" s="62">
        <v>9.66</v>
      </c>
      <c r="J81" s="62">
        <v>8.62</v>
      </c>
      <c r="K81" s="62">
        <v>10.8</v>
      </c>
      <c r="L81" s="62">
        <v>8.18</v>
      </c>
      <c r="M81" s="62">
        <v>152.66</v>
      </c>
      <c r="N81" s="62">
        <v>131.22</v>
      </c>
      <c r="O81" s="62">
        <v>0.05</v>
      </c>
      <c r="P81" s="61">
        <f>O81*150/200</f>
        <v>0.0375</v>
      </c>
      <c r="Q81" s="62">
        <v>0.04</v>
      </c>
      <c r="R81" s="61">
        <f>Q81*150/200</f>
        <v>0.03</v>
      </c>
      <c r="S81" s="62">
        <v>8.48</v>
      </c>
      <c r="T81" s="61">
        <v>6.43</v>
      </c>
      <c r="U81" s="62">
        <v>19.83</v>
      </c>
      <c r="V81" s="61">
        <f>U81*150/200</f>
        <v>14.872499999999997</v>
      </c>
      <c r="W81" s="62">
        <v>1.05</v>
      </c>
      <c r="X81" s="61">
        <f>W81*150/200</f>
        <v>0.7875</v>
      </c>
      <c r="Z81" s="22"/>
      <c r="AA81" s="22"/>
      <c r="AB81" s="22"/>
      <c r="AC81" s="22"/>
    </row>
    <row r="82" spans="1:29" s="67" customFormat="1" ht="24.75" customHeight="1">
      <c r="A82" s="138" t="s">
        <v>157</v>
      </c>
      <c r="B82" s="58" t="s">
        <v>158</v>
      </c>
      <c r="C82" s="59" t="s">
        <v>29</v>
      </c>
      <c r="D82" s="59" t="s">
        <v>29</v>
      </c>
      <c r="E82" s="60">
        <v>12.73</v>
      </c>
      <c r="F82" s="60">
        <v>12.73</v>
      </c>
      <c r="G82" s="61">
        <v>9.26</v>
      </c>
      <c r="H82" s="61">
        <v>9.26</v>
      </c>
      <c r="I82" s="61">
        <v>8.04</v>
      </c>
      <c r="J82" s="61">
        <v>8.04</v>
      </c>
      <c r="K82" s="61">
        <v>1.27</v>
      </c>
      <c r="L82" s="61">
        <v>1.27</v>
      </c>
      <c r="M82" s="61">
        <v>175.08</v>
      </c>
      <c r="N82" s="61">
        <v>175.08</v>
      </c>
      <c r="O82" s="61">
        <v>0.06</v>
      </c>
      <c r="P82" s="61">
        <v>0.06</v>
      </c>
      <c r="Q82" s="61">
        <v>0.1</v>
      </c>
      <c r="R82" s="61">
        <v>0.1</v>
      </c>
      <c r="S82" s="61">
        <v>0.5</v>
      </c>
      <c r="T82" s="61">
        <v>0.5</v>
      </c>
      <c r="U82" s="61">
        <v>14.79</v>
      </c>
      <c r="V82" s="61">
        <v>14.79</v>
      </c>
      <c r="W82" s="61">
        <v>2.27</v>
      </c>
      <c r="X82" s="81">
        <v>2.27</v>
      </c>
      <c r="Y82" s="139"/>
      <c r="Z82" s="66"/>
      <c r="AA82" s="66"/>
      <c r="AB82" s="66"/>
      <c r="AC82" s="66"/>
    </row>
    <row r="83" spans="1:31" ht="15.75" customHeight="1">
      <c r="A83" s="119" t="s">
        <v>18</v>
      </c>
      <c r="B83" s="17" t="s">
        <v>95</v>
      </c>
      <c r="C83" s="18" t="s">
        <v>59</v>
      </c>
      <c r="D83" s="18" t="s">
        <v>82</v>
      </c>
      <c r="E83" s="19">
        <v>3.03</v>
      </c>
      <c r="F83" s="19">
        <v>2.33</v>
      </c>
      <c r="G83" s="20">
        <f>H83*130/100</f>
        <v>3.9</v>
      </c>
      <c r="H83" s="20">
        <v>3</v>
      </c>
      <c r="I83" s="20">
        <f>J83*130/100</f>
        <v>5.85</v>
      </c>
      <c r="J83" s="20">
        <v>4.5</v>
      </c>
      <c r="K83" s="20">
        <f>L83*130/100</f>
        <v>19.37</v>
      </c>
      <c r="L83" s="20">
        <v>14.9</v>
      </c>
      <c r="M83" s="20">
        <f>N83*130/100</f>
        <v>145.73</v>
      </c>
      <c r="N83" s="20">
        <v>112.1</v>
      </c>
      <c r="O83" s="20">
        <f>P83*130/100</f>
        <v>0.039</v>
      </c>
      <c r="P83" s="20">
        <v>0.03</v>
      </c>
      <c r="Q83" s="20">
        <f>R83*130/100</f>
        <v>0.013000000000000001</v>
      </c>
      <c r="R83" s="20">
        <v>0.01</v>
      </c>
      <c r="S83" s="20">
        <f>T83*130/100</f>
        <v>0</v>
      </c>
      <c r="T83" s="20">
        <v>0</v>
      </c>
      <c r="U83" s="20">
        <f>V83*130/100</f>
        <v>11.973000000000003</v>
      </c>
      <c r="V83" s="20">
        <v>9.21</v>
      </c>
      <c r="W83" s="20">
        <f>X83*130/100</f>
        <v>0.9620000000000001</v>
      </c>
      <c r="X83" s="20">
        <v>0.74</v>
      </c>
      <c r="Y83" s="107"/>
      <c r="Z83" s="108"/>
      <c r="AA83" s="108"/>
      <c r="AB83" s="108"/>
      <c r="AC83" s="22"/>
      <c r="AD83" s="22"/>
      <c r="AE83" s="22"/>
    </row>
    <row r="84" spans="1:31" ht="27" customHeight="1">
      <c r="A84" s="118" t="s">
        <v>108</v>
      </c>
      <c r="B84" s="58" t="s">
        <v>114</v>
      </c>
      <c r="C84" s="59" t="s">
        <v>21</v>
      </c>
      <c r="D84" s="59" t="s">
        <v>22</v>
      </c>
      <c r="E84" s="60">
        <v>2.79</v>
      </c>
      <c r="F84" s="60">
        <v>2.09</v>
      </c>
      <c r="G84" s="62">
        <v>1.2</v>
      </c>
      <c r="H84" s="68">
        <v>0.9</v>
      </c>
      <c r="I84" s="62">
        <f>J84*200/150</f>
        <v>0</v>
      </c>
      <c r="J84" s="68">
        <v>0</v>
      </c>
      <c r="K84" s="62">
        <v>31.6</v>
      </c>
      <c r="L84" s="68">
        <v>23.7</v>
      </c>
      <c r="M84" s="62">
        <v>126</v>
      </c>
      <c r="N84" s="68">
        <v>94.5</v>
      </c>
      <c r="O84" s="61">
        <v>0.02</v>
      </c>
      <c r="P84" s="61">
        <f>O84*150/200</f>
        <v>0.015</v>
      </c>
      <c r="Q84" s="61">
        <v>0.01</v>
      </c>
      <c r="R84" s="61">
        <f>Q84*150/200</f>
        <v>0.0075</v>
      </c>
      <c r="S84" s="61">
        <v>0</v>
      </c>
      <c r="T84" s="20">
        <v>0</v>
      </c>
      <c r="U84" s="20">
        <v>12.3</v>
      </c>
      <c r="V84" s="20">
        <f>U84*150/200</f>
        <v>9.225</v>
      </c>
      <c r="W84" s="39">
        <v>2</v>
      </c>
      <c r="X84" s="75">
        <f>W84*150/200</f>
        <v>1.5</v>
      </c>
      <c r="Y84" s="22"/>
      <c r="Z84" s="22"/>
      <c r="AA84" s="22"/>
      <c r="AB84" s="22"/>
      <c r="AC84" s="22"/>
      <c r="AD84" s="22"/>
      <c r="AE84" s="22"/>
    </row>
    <row r="85" spans="1:31" s="67" customFormat="1" ht="15" customHeight="1">
      <c r="A85" s="118"/>
      <c r="B85" s="58" t="s">
        <v>30</v>
      </c>
      <c r="C85" s="59" t="s">
        <v>31</v>
      </c>
      <c r="D85" s="59" t="s">
        <v>31</v>
      </c>
      <c r="E85" s="60">
        <v>1.11</v>
      </c>
      <c r="F85" s="60">
        <v>1.11</v>
      </c>
      <c r="G85" s="60">
        <v>1.6</v>
      </c>
      <c r="H85" s="60">
        <v>1.6</v>
      </c>
      <c r="I85" s="60">
        <v>0.4</v>
      </c>
      <c r="J85" s="60">
        <v>0.4</v>
      </c>
      <c r="K85" s="60">
        <v>10</v>
      </c>
      <c r="L85" s="60">
        <v>10</v>
      </c>
      <c r="M85" s="61">
        <v>54</v>
      </c>
      <c r="N85" s="61">
        <v>54</v>
      </c>
      <c r="O85" s="64">
        <v>0.04</v>
      </c>
      <c r="P85" s="65">
        <v>0.04</v>
      </c>
      <c r="Q85" s="64">
        <v>0.02</v>
      </c>
      <c r="R85" s="65">
        <v>0.02</v>
      </c>
      <c r="S85" s="64">
        <v>0</v>
      </c>
      <c r="T85" s="65">
        <v>0</v>
      </c>
      <c r="U85" s="64">
        <v>7.4</v>
      </c>
      <c r="V85" s="65">
        <v>7.4</v>
      </c>
      <c r="W85" s="64">
        <v>0.56</v>
      </c>
      <c r="X85" s="65">
        <v>0.56</v>
      </c>
      <c r="Y85" s="66"/>
      <c r="Z85" s="66"/>
      <c r="AA85" s="66"/>
      <c r="AB85" s="66"/>
      <c r="AC85" s="66"/>
      <c r="AD85" s="66"/>
      <c r="AE85" s="66"/>
    </row>
    <row r="86" spans="1:31" ht="15" customHeight="1">
      <c r="A86" s="118"/>
      <c r="B86" s="58" t="s">
        <v>32</v>
      </c>
      <c r="C86" s="59" t="s">
        <v>75</v>
      </c>
      <c r="D86" s="59" t="s">
        <v>76</v>
      </c>
      <c r="E86" s="60">
        <v>2.09</v>
      </c>
      <c r="F86" s="60">
        <v>1.83</v>
      </c>
      <c r="G86" s="60">
        <v>3.25</v>
      </c>
      <c r="H86" s="61">
        <v>2.84</v>
      </c>
      <c r="I86" s="61">
        <v>0.46</v>
      </c>
      <c r="J86" s="61">
        <f>I86*40.6/46</f>
        <v>0.406</v>
      </c>
      <c r="K86" s="61">
        <v>20.88</v>
      </c>
      <c r="L86" s="61">
        <v>18.27</v>
      </c>
      <c r="M86" s="61">
        <v>102.08</v>
      </c>
      <c r="N86" s="61">
        <v>89.32</v>
      </c>
      <c r="O86" s="62">
        <v>0.06</v>
      </c>
      <c r="P86" s="68">
        <v>0.04</v>
      </c>
      <c r="Q86" s="62">
        <v>0.04</v>
      </c>
      <c r="R86" s="68">
        <v>0.03</v>
      </c>
      <c r="S86" s="62">
        <v>0</v>
      </c>
      <c r="T86" s="61">
        <f>S86*40.6/46</f>
        <v>0</v>
      </c>
      <c r="U86" s="64">
        <v>17</v>
      </c>
      <c r="V86" s="65">
        <v>13.6</v>
      </c>
      <c r="W86" s="64">
        <v>1.15</v>
      </c>
      <c r="X86" s="65">
        <v>0.92</v>
      </c>
      <c r="Y86" s="22"/>
      <c r="Z86" s="22"/>
      <c r="AA86" s="22"/>
      <c r="AB86" s="22"/>
      <c r="AC86" s="22"/>
      <c r="AD86" s="22"/>
      <c r="AE86" s="22"/>
    </row>
    <row r="87" spans="1:32" ht="15" customHeight="1">
      <c r="A87" s="16"/>
      <c r="B87" s="17" t="s">
        <v>23</v>
      </c>
      <c r="C87" s="18"/>
      <c r="D87" s="18"/>
      <c r="E87" s="28">
        <f>SUM(E80:E86)</f>
        <v>37.59</v>
      </c>
      <c r="F87" s="28">
        <f>SUM(F80:F86)</f>
        <v>34.76</v>
      </c>
      <c r="G87" s="28">
        <f>SUM(G80:G86)-3.5</f>
        <v>21.939999999999998</v>
      </c>
      <c r="H87" s="28">
        <f>SUM(H80:H86)-3.5</f>
        <v>19.78</v>
      </c>
      <c r="I87" s="28">
        <f aca="true" t="shared" si="21" ref="I87:T87">SUM(I80:I86)</f>
        <v>27.409999999999997</v>
      </c>
      <c r="J87" s="28">
        <f t="shared" si="21"/>
        <v>24.215999999999994</v>
      </c>
      <c r="K87" s="28">
        <f>SUM(K80:K86)+8</f>
        <v>108.03999999999999</v>
      </c>
      <c r="L87" s="28">
        <f>SUM(L80:L86)+0</f>
        <v>80.91</v>
      </c>
      <c r="M87" s="28">
        <f>SUM(M80:M86)-0</f>
        <v>809.5500000000001</v>
      </c>
      <c r="N87" s="28">
        <f>SUM(N80:N86)-23</f>
        <v>673.72</v>
      </c>
      <c r="O87" s="28">
        <f t="shared" si="21"/>
        <v>0.269</v>
      </c>
      <c r="P87" s="28">
        <f t="shared" si="21"/>
        <v>0.22250000000000003</v>
      </c>
      <c r="Q87" s="28">
        <f t="shared" si="21"/>
        <v>0.22300000000000003</v>
      </c>
      <c r="R87" s="28">
        <f t="shared" si="21"/>
        <v>0.1975</v>
      </c>
      <c r="S87" s="28">
        <f t="shared" si="21"/>
        <v>22.42</v>
      </c>
      <c r="T87" s="28">
        <f t="shared" si="21"/>
        <v>17.009999999999998</v>
      </c>
      <c r="U87" s="28">
        <f>SUM(U80:U86)</f>
        <v>96.473</v>
      </c>
      <c r="V87" s="28">
        <f>SUM(V80:V86)</f>
        <v>78.9825</v>
      </c>
      <c r="W87" s="28">
        <f>SUM(W80:W86)</f>
        <v>8.612</v>
      </c>
      <c r="X87" s="76">
        <f>SUM(X80:X86)</f>
        <v>7.2425</v>
      </c>
      <c r="Y87" s="73"/>
      <c r="Z87" s="73"/>
      <c r="AA87" s="73"/>
      <c r="AB87" s="73"/>
      <c r="AC87" s="73"/>
      <c r="AD87" s="22"/>
      <c r="AE87" s="22"/>
      <c r="AF87" s="22"/>
    </row>
    <row r="88" spans="1:32" ht="15" customHeight="1">
      <c r="A88" s="16"/>
      <c r="B88" s="87" t="s">
        <v>42</v>
      </c>
      <c r="C88" s="18"/>
      <c r="D88" s="18"/>
      <c r="E88" s="19"/>
      <c r="F88" s="19"/>
      <c r="G88" s="19"/>
      <c r="H88" s="20"/>
      <c r="I88" s="20"/>
      <c r="J88" s="20"/>
      <c r="K88" s="20"/>
      <c r="L88" s="20"/>
      <c r="M88" s="20"/>
      <c r="N88" s="20"/>
      <c r="O88" s="29"/>
      <c r="P88" s="29"/>
      <c r="Q88" s="29"/>
      <c r="R88" s="29"/>
      <c r="S88" s="29"/>
      <c r="T88" s="29"/>
      <c r="U88" s="29"/>
      <c r="V88" s="29"/>
      <c r="W88" s="29"/>
      <c r="X88" s="77"/>
      <c r="Y88" s="22"/>
      <c r="Z88" s="37"/>
      <c r="AA88" s="37"/>
      <c r="AB88" s="37"/>
      <c r="AC88" s="22"/>
      <c r="AD88" s="22"/>
      <c r="AE88" s="22"/>
      <c r="AF88" s="22"/>
    </row>
    <row r="89" spans="1:31" ht="15" customHeight="1">
      <c r="A89" s="118" t="s">
        <v>34</v>
      </c>
      <c r="B89" s="58" t="s">
        <v>35</v>
      </c>
      <c r="C89" s="59" t="s">
        <v>26</v>
      </c>
      <c r="D89" s="59" t="s">
        <v>26</v>
      </c>
      <c r="E89" s="60">
        <v>10.36</v>
      </c>
      <c r="F89" s="60">
        <v>10.36</v>
      </c>
      <c r="G89" s="60">
        <v>5.31</v>
      </c>
      <c r="H89" s="61">
        <v>5.31</v>
      </c>
      <c r="I89" s="60">
        <v>4.5</v>
      </c>
      <c r="J89" s="61">
        <v>4.5</v>
      </c>
      <c r="K89" s="60">
        <v>8.91</v>
      </c>
      <c r="L89" s="61">
        <v>8.91</v>
      </c>
      <c r="M89" s="60">
        <v>97.38</v>
      </c>
      <c r="N89" s="61">
        <v>97.38</v>
      </c>
      <c r="O89" s="60">
        <v>0.07</v>
      </c>
      <c r="P89" s="61">
        <v>0.07</v>
      </c>
      <c r="Q89" s="60">
        <v>0.3</v>
      </c>
      <c r="R89" s="61">
        <v>0.3</v>
      </c>
      <c r="S89" s="60">
        <v>2.46</v>
      </c>
      <c r="T89" s="61">
        <v>2.46</v>
      </c>
      <c r="U89" s="60">
        <v>275.74</v>
      </c>
      <c r="V89" s="61">
        <v>275.74</v>
      </c>
      <c r="W89" s="60">
        <v>0.23</v>
      </c>
      <c r="X89" s="61">
        <v>0.23</v>
      </c>
      <c r="Y89" s="37"/>
      <c r="Z89" s="37"/>
      <c r="AA89" s="37"/>
      <c r="AB89" s="37"/>
      <c r="AC89" s="37"/>
      <c r="AD89" s="37"/>
      <c r="AE89" s="22"/>
    </row>
    <row r="90" spans="1:31" ht="12.75">
      <c r="A90" s="122" t="s">
        <v>96</v>
      </c>
      <c r="B90" s="41" t="s">
        <v>98</v>
      </c>
      <c r="C90" s="59" t="s">
        <v>99</v>
      </c>
      <c r="D90" s="59" t="s">
        <v>99</v>
      </c>
      <c r="E90" s="60">
        <v>0.95</v>
      </c>
      <c r="F90" s="60">
        <v>0.95</v>
      </c>
      <c r="G90" s="60">
        <v>2.24</v>
      </c>
      <c r="H90" s="61">
        <v>2.24</v>
      </c>
      <c r="I90" s="60">
        <v>3.93</v>
      </c>
      <c r="J90" s="61">
        <v>3.93</v>
      </c>
      <c r="K90" s="60">
        <v>18.27</v>
      </c>
      <c r="L90" s="61">
        <v>18.27</v>
      </c>
      <c r="M90" s="60">
        <v>117.63</v>
      </c>
      <c r="N90" s="61">
        <v>117.63</v>
      </c>
      <c r="O90" s="60"/>
      <c r="P90" s="61"/>
      <c r="Q90" s="60"/>
      <c r="R90" s="61"/>
      <c r="S90" s="60">
        <v>0</v>
      </c>
      <c r="T90" s="61">
        <v>0</v>
      </c>
      <c r="U90" s="110"/>
      <c r="V90" s="111"/>
      <c r="W90" s="110"/>
      <c r="X90" s="112"/>
      <c r="Y90" s="37"/>
      <c r="Z90" s="37"/>
      <c r="AA90" s="37"/>
      <c r="AB90" s="37"/>
      <c r="AC90" s="37"/>
      <c r="AD90" s="37"/>
      <c r="AE90" s="22"/>
    </row>
    <row r="91" spans="1:32" ht="15" customHeight="1">
      <c r="A91" s="16"/>
      <c r="B91" s="17" t="s">
        <v>23</v>
      </c>
      <c r="C91" s="71"/>
      <c r="D91" s="71"/>
      <c r="E91" s="113">
        <f>SUM(E89:E90)</f>
        <v>11.309999999999999</v>
      </c>
      <c r="F91" s="113">
        <f>SUM(F89:F90)</f>
        <v>11.309999999999999</v>
      </c>
      <c r="G91" s="113">
        <f aca="true" t="shared" si="22" ref="G91:T91">SUM(G89:G90)</f>
        <v>7.55</v>
      </c>
      <c r="H91" s="113">
        <f t="shared" si="22"/>
        <v>7.55</v>
      </c>
      <c r="I91" s="113">
        <f t="shared" si="22"/>
        <v>8.43</v>
      </c>
      <c r="J91" s="113">
        <f t="shared" si="22"/>
        <v>8.43</v>
      </c>
      <c r="K91" s="113">
        <f t="shared" si="22"/>
        <v>27.18</v>
      </c>
      <c r="L91" s="113">
        <f t="shared" si="22"/>
        <v>27.18</v>
      </c>
      <c r="M91" s="113">
        <f t="shared" si="22"/>
        <v>215.01</v>
      </c>
      <c r="N91" s="113">
        <f t="shared" si="22"/>
        <v>215.01</v>
      </c>
      <c r="O91" s="113">
        <f t="shared" si="22"/>
        <v>0.07</v>
      </c>
      <c r="P91" s="113">
        <f t="shared" si="22"/>
        <v>0.07</v>
      </c>
      <c r="Q91" s="113">
        <f t="shared" si="22"/>
        <v>0.3</v>
      </c>
      <c r="R91" s="113">
        <f t="shared" si="22"/>
        <v>0.3</v>
      </c>
      <c r="S91" s="113">
        <f t="shared" si="22"/>
        <v>2.46</v>
      </c>
      <c r="T91" s="113">
        <f t="shared" si="22"/>
        <v>2.46</v>
      </c>
      <c r="U91" s="113">
        <f aca="true" t="shared" si="23" ref="U91:AB91">SUM(U89:U90)</f>
        <v>275.74</v>
      </c>
      <c r="V91" s="113">
        <f t="shared" si="23"/>
        <v>275.74</v>
      </c>
      <c r="W91" s="113">
        <f t="shared" si="23"/>
        <v>0.23</v>
      </c>
      <c r="X91" s="113">
        <f t="shared" si="23"/>
        <v>0.23</v>
      </c>
      <c r="Y91" s="113">
        <f t="shared" si="23"/>
        <v>0</v>
      </c>
      <c r="Z91" s="113">
        <f t="shared" si="23"/>
        <v>0</v>
      </c>
      <c r="AA91" s="113">
        <f t="shared" si="23"/>
        <v>0</v>
      </c>
      <c r="AB91" s="113">
        <f t="shared" si="23"/>
        <v>0</v>
      </c>
      <c r="AC91" s="73"/>
      <c r="AD91" s="22"/>
      <c r="AE91" s="22"/>
      <c r="AF91" s="22"/>
    </row>
    <row r="92" spans="1:32" ht="15" customHeight="1">
      <c r="A92" s="16"/>
      <c r="B92" s="87" t="s">
        <v>36</v>
      </c>
      <c r="C92" s="18"/>
      <c r="D92" s="18"/>
      <c r="E92" s="19"/>
      <c r="F92" s="19"/>
      <c r="G92" s="19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9"/>
      <c r="U92" s="29"/>
      <c r="V92" s="29"/>
      <c r="W92" s="29"/>
      <c r="X92" s="77"/>
      <c r="Y92" s="22"/>
      <c r="Z92" s="37"/>
      <c r="AA92" s="37"/>
      <c r="AB92" s="37"/>
      <c r="AC92" s="22"/>
      <c r="AD92" s="22"/>
      <c r="AE92" s="22"/>
      <c r="AF92" s="22"/>
    </row>
    <row r="93" spans="1:33" ht="15" customHeight="1">
      <c r="A93" s="119"/>
      <c r="B93" s="17" t="s">
        <v>44</v>
      </c>
      <c r="C93" s="18" t="s">
        <v>22</v>
      </c>
      <c r="D93" s="18" t="s">
        <v>135</v>
      </c>
      <c r="E93" s="19">
        <v>10.63</v>
      </c>
      <c r="F93" s="19">
        <v>9.56</v>
      </c>
      <c r="G93" s="19">
        <f>H93*150/135</f>
        <v>0.5888888888888889</v>
      </c>
      <c r="H93" s="20">
        <v>0.53</v>
      </c>
      <c r="I93" s="19">
        <v>0</v>
      </c>
      <c r="J93" s="20">
        <v>0</v>
      </c>
      <c r="K93" s="19">
        <f>L93*150/135</f>
        <v>14.5</v>
      </c>
      <c r="L93" s="20">
        <v>13.05</v>
      </c>
      <c r="M93" s="19">
        <f>N93*150/135</f>
        <v>56.233333333333334</v>
      </c>
      <c r="N93" s="20">
        <v>50.61</v>
      </c>
      <c r="O93" s="19">
        <v>0.02</v>
      </c>
      <c r="P93" s="20">
        <v>0.02</v>
      </c>
      <c r="Q93" s="19">
        <f>R93*160/150</f>
        <v>0.05333333333333334</v>
      </c>
      <c r="R93" s="20">
        <v>0.05</v>
      </c>
      <c r="S93" s="19">
        <f>T93*150/135</f>
        <v>23.677777777777777</v>
      </c>
      <c r="T93" s="20">
        <v>21.31</v>
      </c>
      <c r="U93" s="19">
        <v>24</v>
      </c>
      <c r="V93" s="20">
        <v>24</v>
      </c>
      <c r="W93" s="19">
        <v>3.3</v>
      </c>
      <c r="X93" s="39">
        <v>3.3</v>
      </c>
      <c r="Y93" s="80"/>
      <c r="Z93" s="37"/>
      <c r="AA93" s="37"/>
      <c r="AB93" s="37"/>
      <c r="AC93" s="22"/>
      <c r="AD93" s="22"/>
      <c r="AE93" s="22"/>
      <c r="AF93" s="22"/>
      <c r="AG93" s="22"/>
    </row>
    <row r="94" spans="1:29" s="31" customFormat="1" ht="18.75" customHeight="1">
      <c r="A94" s="120" t="s">
        <v>110</v>
      </c>
      <c r="B94" s="58" t="s">
        <v>111</v>
      </c>
      <c r="C94" s="59" t="s">
        <v>29</v>
      </c>
      <c r="D94" s="59" t="s">
        <v>29</v>
      </c>
      <c r="E94" s="60">
        <v>24.69</v>
      </c>
      <c r="F94" s="60">
        <v>24.69</v>
      </c>
      <c r="G94" s="60">
        <v>15.77</v>
      </c>
      <c r="H94" s="61">
        <v>15.77</v>
      </c>
      <c r="I94" s="61">
        <v>2.76</v>
      </c>
      <c r="J94" s="61">
        <v>2.76</v>
      </c>
      <c r="K94" s="61">
        <v>7.3</v>
      </c>
      <c r="L94" s="61">
        <v>7.3</v>
      </c>
      <c r="M94" s="61">
        <v>117</v>
      </c>
      <c r="N94" s="61">
        <v>117</v>
      </c>
      <c r="O94" s="61">
        <v>0.09</v>
      </c>
      <c r="P94" s="61">
        <v>0.09</v>
      </c>
      <c r="Q94" s="61">
        <v>0.1</v>
      </c>
      <c r="R94" s="61">
        <v>0.1</v>
      </c>
      <c r="S94" s="61">
        <v>2.29</v>
      </c>
      <c r="T94" s="61">
        <v>2.29</v>
      </c>
      <c r="U94" s="61">
        <v>23.97</v>
      </c>
      <c r="V94" s="61">
        <v>23.97</v>
      </c>
      <c r="W94" s="61">
        <v>0.61</v>
      </c>
      <c r="X94" s="61">
        <v>0.61</v>
      </c>
      <c r="Y94" s="36"/>
      <c r="Z94" s="101"/>
      <c r="AA94" s="101"/>
      <c r="AB94" s="101"/>
      <c r="AC94" s="36"/>
    </row>
    <row r="95" spans="1:24" s="32" customFormat="1" ht="15" customHeight="1">
      <c r="A95" s="118" t="s">
        <v>162</v>
      </c>
      <c r="B95" s="58" t="s">
        <v>163</v>
      </c>
      <c r="C95" s="59" t="s">
        <v>22</v>
      </c>
      <c r="D95" s="59" t="s">
        <v>82</v>
      </c>
      <c r="E95" s="60">
        <v>6.47</v>
      </c>
      <c r="F95" s="60">
        <v>4.32</v>
      </c>
      <c r="G95" s="60">
        <f>H95*150/100</f>
        <v>2.88</v>
      </c>
      <c r="H95" s="61">
        <v>1.92</v>
      </c>
      <c r="I95" s="60">
        <f>J95*150/100</f>
        <v>4.32</v>
      </c>
      <c r="J95" s="61">
        <v>2.88</v>
      </c>
      <c r="K95" s="60">
        <f>L95*150/100</f>
        <v>22.995</v>
      </c>
      <c r="L95" s="61">
        <v>15.33</v>
      </c>
      <c r="M95" s="60">
        <f>N95*150/100</f>
        <v>142.35</v>
      </c>
      <c r="N95" s="61">
        <v>94.9</v>
      </c>
      <c r="O95" s="60">
        <f>P95*150/100</f>
        <v>0.18</v>
      </c>
      <c r="P95" s="61">
        <v>0.12</v>
      </c>
      <c r="Q95" s="60">
        <f>R95*150/100</f>
        <v>0.075</v>
      </c>
      <c r="R95" s="61">
        <v>0.05</v>
      </c>
      <c r="S95" s="60">
        <f>T95*150/100</f>
        <v>21</v>
      </c>
      <c r="T95" s="61">
        <v>14</v>
      </c>
      <c r="U95" s="60">
        <f>V95*150/100</f>
        <v>16.155</v>
      </c>
      <c r="V95" s="61">
        <v>10.77</v>
      </c>
      <c r="W95" s="60">
        <f>X95*150/100</f>
        <v>1.365</v>
      </c>
      <c r="X95" s="61">
        <v>0.91</v>
      </c>
    </row>
    <row r="96" spans="1:31" ht="15" customHeight="1">
      <c r="A96" s="119" t="s">
        <v>90</v>
      </c>
      <c r="B96" s="23" t="s">
        <v>91</v>
      </c>
      <c r="C96" s="18" t="s">
        <v>21</v>
      </c>
      <c r="D96" s="18" t="s">
        <v>22</v>
      </c>
      <c r="E96" s="19">
        <v>0.51</v>
      </c>
      <c r="F96" s="19">
        <v>0.38</v>
      </c>
      <c r="G96" s="19">
        <v>0.18</v>
      </c>
      <c r="H96" s="20">
        <v>0.13</v>
      </c>
      <c r="I96" s="19">
        <f>J96*200/150</f>
        <v>0</v>
      </c>
      <c r="J96" s="20">
        <v>0</v>
      </c>
      <c r="K96" s="19">
        <v>4.78</v>
      </c>
      <c r="L96" s="20">
        <v>3.58</v>
      </c>
      <c r="M96" s="19">
        <v>19.9</v>
      </c>
      <c r="N96" s="20">
        <v>14.92</v>
      </c>
      <c r="O96" s="19">
        <f>P96*200/150</f>
        <v>0.013333333333333334</v>
      </c>
      <c r="P96" s="29">
        <v>0.01</v>
      </c>
      <c r="Q96" s="19">
        <f>R96*200/150</f>
        <v>0.013333333333333334</v>
      </c>
      <c r="R96" s="29">
        <v>0.01</v>
      </c>
      <c r="S96" s="19">
        <v>0.04</v>
      </c>
      <c r="T96" s="29">
        <v>0.03</v>
      </c>
      <c r="U96" s="19">
        <f>V96*200/150</f>
        <v>5.053333333333334</v>
      </c>
      <c r="V96" s="29">
        <v>3.79</v>
      </c>
      <c r="W96" s="19">
        <f>X96*200/150</f>
        <v>0.84</v>
      </c>
      <c r="X96" s="77">
        <v>0.63</v>
      </c>
      <c r="Y96" s="22"/>
      <c r="Z96" s="22"/>
      <c r="AA96" s="22"/>
      <c r="AB96" s="22"/>
      <c r="AC96" s="22"/>
      <c r="AD96" s="22"/>
      <c r="AE96" s="22"/>
    </row>
    <row r="97" spans="1:31" s="67" customFormat="1" ht="15" customHeight="1">
      <c r="A97" s="118"/>
      <c r="B97" s="58" t="s">
        <v>30</v>
      </c>
      <c r="C97" s="59" t="s">
        <v>31</v>
      </c>
      <c r="D97" s="59" t="s">
        <v>31</v>
      </c>
      <c r="E97" s="60">
        <v>1.11</v>
      </c>
      <c r="F97" s="60">
        <v>1.11</v>
      </c>
      <c r="G97" s="60">
        <v>1.6</v>
      </c>
      <c r="H97" s="60">
        <v>1.6</v>
      </c>
      <c r="I97" s="60">
        <v>0.4</v>
      </c>
      <c r="J97" s="60">
        <v>0.4</v>
      </c>
      <c r="K97" s="60">
        <v>10</v>
      </c>
      <c r="L97" s="60">
        <v>10</v>
      </c>
      <c r="M97" s="61">
        <v>54</v>
      </c>
      <c r="N97" s="61">
        <v>54</v>
      </c>
      <c r="O97" s="64">
        <v>0.04</v>
      </c>
      <c r="P97" s="65">
        <v>0.04</v>
      </c>
      <c r="Q97" s="64">
        <v>0.02</v>
      </c>
      <c r="R97" s="65">
        <v>0.02</v>
      </c>
      <c r="S97" s="64">
        <v>0</v>
      </c>
      <c r="T97" s="65">
        <v>0</v>
      </c>
      <c r="U97" s="64">
        <v>7.4</v>
      </c>
      <c r="V97" s="65">
        <v>7.4</v>
      </c>
      <c r="W97" s="64">
        <v>0.56</v>
      </c>
      <c r="X97" s="65">
        <v>0.56</v>
      </c>
      <c r="Y97" s="66"/>
      <c r="Z97" s="66"/>
      <c r="AA97" s="66"/>
      <c r="AB97" s="66"/>
      <c r="AC97" s="66"/>
      <c r="AD97" s="66"/>
      <c r="AE97" s="66"/>
    </row>
    <row r="98" spans="1:32" ht="15" customHeight="1">
      <c r="A98" s="16"/>
      <c r="B98" s="17" t="s">
        <v>23</v>
      </c>
      <c r="C98" s="18"/>
      <c r="D98" s="18"/>
      <c r="E98" s="28">
        <f>SUM(E93:E97)</f>
        <v>43.41</v>
      </c>
      <c r="F98" s="28">
        <f>SUM(F93:F97)</f>
        <v>40.06</v>
      </c>
      <c r="G98" s="28">
        <f aca="true" t="shared" si="24" ref="G98:T98">SUM(G93:G97)</f>
        <v>21.01888888888889</v>
      </c>
      <c r="H98" s="28">
        <f t="shared" si="24"/>
        <v>19.95</v>
      </c>
      <c r="I98" s="28">
        <f t="shared" si="24"/>
        <v>7.48</v>
      </c>
      <c r="J98" s="28">
        <f t="shared" si="24"/>
        <v>6.04</v>
      </c>
      <c r="K98" s="28">
        <f t="shared" si="24"/>
        <v>59.575</v>
      </c>
      <c r="L98" s="28">
        <f t="shared" si="24"/>
        <v>49.26</v>
      </c>
      <c r="M98" s="28">
        <f t="shared" si="24"/>
        <v>389.48333333333335</v>
      </c>
      <c r="N98" s="28">
        <f t="shared" si="24"/>
        <v>331.43</v>
      </c>
      <c r="O98" s="28">
        <f t="shared" si="24"/>
        <v>0.34333333333333327</v>
      </c>
      <c r="P98" s="28">
        <f t="shared" si="24"/>
        <v>0.27999999999999997</v>
      </c>
      <c r="Q98" s="28">
        <f t="shared" si="24"/>
        <v>0.26166666666666666</v>
      </c>
      <c r="R98" s="28">
        <f t="shared" si="24"/>
        <v>0.23</v>
      </c>
      <c r="S98" s="28">
        <f t="shared" si="24"/>
        <v>47.007777777777775</v>
      </c>
      <c r="T98" s="28">
        <f t="shared" si="24"/>
        <v>37.629999999999995</v>
      </c>
      <c r="U98" s="28">
        <f aca="true" t="shared" si="25" ref="U98:AB98">SUM(U93:U97)</f>
        <v>76.57833333333333</v>
      </c>
      <c r="V98" s="28">
        <f t="shared" si="25"/>
        <v>69.92999999999999</v>
      </c>
      <c r="W98" s="28">
        <f t="shared" si="25"/>
        <v>6.674999999999999</v>
      </c>
      <c r="X98" s="28">
        <f t="shared" si="25"/>
        <v>6.01</v>
      </c>
      <c r="Y98" s="28">
        <f t="shared" si="25"/>
        <v>0</v>
      </c>
      <c r="Z98" s="28">
        <f t="shared" si="25"/>
        <v>0</v>
      </c>
      <c r="AA98" s="28">
        <f t="shared" si="25"/>
        <v>0</v>
      </c>
      <c r="AB98" s="28">
        <f t="shared" si="25"/>
        <v>0</v>
      </c>
      <c r="AC98" s="73"/>
      <c r="AD98" s="22"/>
      <c r="AE98" s="22"/>
      <c r="AF98" s="22"/>
    </row>
    <row r="99" spans="1:32" ht="15" customHeight="1">
      <c r="A99" s="16"/>
      <c r="B99" s="17" t="s">
        <v>37</v>
      </c>
      <c r="C99" s="18"/>
      <c r="D99" s="19"/>
      <c r="E99" s="28">
        <f>E98+E91+E87+E78+E75</f>
        <v>128.24</v>
      </c>
      <c r="F99" s="28">
        <f>F98+F91+F87+F78+F75</f>
        <v>115.57</v>
      </c>
      <c r="G99" s="28">
        <f aca="true" t="shared" si="26" ref="G99:T99">G98+G91+G87+G78+G75</f>
        <v>63.28888888888889</v>
      </c>
      <c r="H99" s="28">
        <f t="shared" si="26"/>
        <v>57.82</v>
      </c>
      <c r="I99" s="28">
        <f t="shared" si="26"/>
        <v>60.51629629629629</v>
      </c>
      <c r="J99" s="28">
        <f t="shared" si="26"/>
        <v>53.26599999999999</v>
      </c>
      <c r="K99" s="28">
        <f t="shared" si="26"/>
        <v>255.915</v>
      </c>
      <c r="L99" s="28">
        <f t="shared" si="26"/>
        <v>208.17000000000002</v>
      </c>
      <c r="M99" s="28">
        <f t="shared" si="26"/>
        <v>1862.5796296296298</v>
      </c>
      <c r="N99" s="28">
        <f t="shared" si="26"/>
        <v>1596.7800000000002</v>
      </c>
      <c r="O99" s="28">
        <f t="shared" si="26"/>
        <v>0.9463333333333332</v>
      </c>
      <c r="P99" s="28">
        <f t="shared" si="26"/>
        <v>0.7675000000000001</v>
      </c>
      <c r="Q99" s="28">
        <f t="shared" si="26"/>
        <v>1.5066666666666666</v>
      </c>
      <c r="R99" s="28">
        <f t="shared" si="26"/>
        <v>1.295</v>
      </c>
      <c r="S99" s="28">
        <f t="shared" si="26"/>
        <v>76.7177777777778</v>
      </c>
      <c r="T99" s="28">
        <f t="shared" si="26"/>
        <v>61</v>
      </c>
      <c r="U99" s="28">
        <f>U98+U91+U87+U78+U75</f>
        <v>982.4853333333333</v>
      </c>
      <c r="V99" s="28">
        <f>V98+V91+V87+V78+V75</f>
        <v>885.5641666666668</v>
      </c>
      <c r="W99" s="28">
        <f>W98+W91+W87+W78+W75</f>
        <v>17.776999999999997</v>
      </c>
      <c r="X99" s="76">
        <f>X98+X91+X87+X78+X75</f>
        <v>15.105833333333333</v>
      </c>
      <c r="Y99" s="73"/>
      <c r="Z99" s="73"/>
      <c r="AA99" s="73"/>
      <c r="AB99" s="73"/>
      <c r="AC99" s="73"/>
      <c r="AD99" s="73"/>
      <c r="AE99" s="73"/>
      <c r="AF99" s="22"/>
    </row>
    <row r="100" spans="1:32" ht="15" customHeight="1">
      <c r="A100" s="16"/>
      <c r="B100" s="85" t="s">
        <v>142</v>
      </c>
      <c r="C100" s="18"/>
      <c r="D100" s="18"/>
      <c r="E100" s="19"/>
      <c r="F100" s="19"/>
      <c r="G100" s="19"/>
      <c r="H100" s="20"/>
      <c r="I100" s="20"/>
      <c r="J100" s="20"/>
      <c r="K100" s="20"/>
      <c r="L100" s="20"/>
      <c r="M100" s="20"/>
      <c r="N100" s="20"/>
      <c r="O100" s="29"/>
      <c r="P100" s="29"/>
      <c r="Q100" s="29"/>
      <c r="R100" s="29"/>
      <c r="S100" s="29"/>
      <c r="T100" s="29"/>
      <c r="U100" s="29"/>
      <c r="V100" s="29"/>
      <c r="W100" s="29"/>
      <c r="X100" s="77"/>
      <c r="Y100" s="22"/>
      <c r="Z100" s="37"/>
      <c r="AA100" s="37"/>
      <c r="AB100" s="37"/>
      <c r="AC100" s="22"/>
      <c r="AD100" s="22"/>
      <c r="AE100" s="22"/>
      <c r="AF100" s="22"/>
    </row>
    <row r="101" spans="1:32" ht="15" customHeight="1">
      <c r="A101" s="16"/>
      <c r="B101" s="87" t="s">
        <v>17</v>
      </c>
      <c r="C101" s="18"/>
      <c r="D101" s="18"/>
      <c r="E101" s="19"/>
      <c r="F101" s="19"/>
      <c r="G101" s="19"/>
      <c r="H101" s="20"/>
      <c r="I101" s="20"/>
      <c r="J101" s="20"/>
      <c r="K101" s="20"/>
      <c r="L101" s="20"/>
      <c r="M101" s="20"/>
      <c r="N101" s="20"/>
      <c r="O101" s="29"/>
      <c r="P101" s="29"/>
      <c r="Q101" s="29"/>
      <c r="R101" s="29"/>
      <c r="S101" s="29"/>
      <c r="T101" s="29"/>
      <c r="U101" s="29"/>
      <c r="V101" s="29"/>
      <c r="W101" s="29"/>
      <c r="X101" s="77"/>
      <c r="Y101" s="22"/>
      <c r="Z101" s="37"/>
      <c r="AA101" s="37"/>
      <c r="AB101" s="37"/>
      <c r="AC101" s="22"/>
      <c r="AD101" s="22"/>
      <c r="AE101" s="22"/>
      <c r="AF101" s="22"/>
    </row>
    <row r="102" spans="1:30" s="32" customFormat="1" ht="14.25" customHeight="1">
      <c r="A102" s="118" t="s">
        <v>64</v>
      </c>
      <c r="B102" s="58" t="s">
        <v>129</v>
      </c>
      <c r="C102" s="59" t="s">
        <v>86</v>
      </c>
      <c r="D102" s="59" t="s">
        <v>86</v>
      </c>
      <c r="E102" s="60">
        <v>4.35</v>
      </c>
      <c r="F102" s="60">
        <v>4.35</v>
      </c>
      <c r="G102" s="60">
        <v>2.9</v>
      </c>
      <c r="H102" s="61">
        <v>2.9</v>
      </c>
      <c r="I102" s="60">
        <v>1.95</v>
      </c>
      <c r="J102" s="61">
        <v>1.95</v>
      </c>
      <c r="K102" s="60">
        <v>10.4</v>
      </c>
      <c r="L102" s="61">
        <v>10.4</v>
      </c>
      <c r="M102" s="60">
        <v>70.75</v>
      </c>
      <c r="N102" s="61">
        <v>70.75</v>
      </c>
      <c r="O102" s="130">
        <v>0.08</v>
      </c>
      <c r="P102" s="130">
        <f>O102*40/60</f>
        <v>0.05333333333333334</v>
      </c>
      <c r="Q102" s="130">
        <v>0.06</v>
      </c>
      <c r="R102" s="130">
        <f>Q102*40/60</f>
        <v>0.04</v>
      </c>
      <c r="S102" s="60">
        <v>0.14</v>
      </c>
      <c r="T102" s="61">
        <v>0.14</v>
      </c>
      <c r="U102" s="61">
        <v>70.8</v>
      </c>
      <c r="V102" s="61">
        <f>U102*40/60</f>
        <v>47.2</v>
      </c>
      <c r="W102" s="61">
        <v>0.81</v>
      </c>
      <c r="X102" s="81">
        <f>W102*40/60</f>
        <v>0.5400000000000001</v>
      </c>
      <c r="Y102" s="79"/>
      <c r="Z102" s="37"/>
      <c r="AA102" s="37"/>
      <c r="AB102" s="37"/>
      <c r="AC102" s="37"/>
      <c r="AD102" s="37"/>
    </row>
    <row r="103" spans="1:31" ht="15" customHeight="1">
      <c r="A103" s="119" t="s">
        <v>148</v>
      </c>
      <c r="B103" s="17" t="s">
        <v>149</v>
      </c>
      <c r="C103" s="18" t="s">
        <v>150</v>
      </c>
      <c r="D103" s="18" t="s">
        <v>150</v>
      </c>
      <c r="E103" s="19">
        <v>4.93</v>
      </c>
      <c r="F103" s="19">
        <v>4.93</v>
      </c>
      <c r="G103" s="19">
        <v>5.1</v>
      </c>
      <c r="H103" s="19">
        <v>5.1</v>
      </c>
      <c r="I103" s="20">
        <v>4.6</v>
      </c>
      <c r="J103" s="20">
        <v>4.6</v>
      </c>
      <c r="K103" s="20">
        <v>0.3</v>
      </c>
      <c r="L103" s="20">
        <v>0.3</v>
      </c>
      <c r="M103" s="20">
        <v>63</v>
      </c>
      <c r="N103" s="20">
        <v>63</v>
      </c>
      <c r="O103" s="27">
        <v>0.03</v>
      </c>
      <c r="P103" s="27">
        <v>0.03</v>
      </c>
      <c r="Q103" s="27">
        <v>0.18</v>
      </c>
      <c r="R103" s="27">
        <v>0.18</v>
      </c>
      <c r="S103" s="27">
        <v>0</v>
      </c>
      <c r="T103" s="27">
        <v>0</v>
      </c>
      <c r="U103" s="27">
        <v>22</v>
      </c>
      <c r="V103" s="27">
        <v>22</v>
      </c>
      <c r="W103" s="27">
        <v>1.08</v>
      </c>
      <c r="X103" s="137">
        <v>1.08</v>
      </c>
      <c r="Y103" s="22"/>
      <c r="Z103" s="22"/>
      <c r="AA103" s="22"/>
      <c r="AB103" s="22"/>
      <c r="AC103" s="22"/>
      <c r="AD103" s="22"/>
      <c r="AE103" s="22"/>
    </row>
    <row r="104" spans="1:24" ht="15" customHeight="1">
      <c r="A104" s="119" t="s">
        <v>97</v>
      </c>
      <c r="B104" s="17" t="s">
        <v>132</v>
      </c>
      <c r="C104" s="24">
        <v>200</v>
      </c>
      <c r="D104" s="24">
        <v>150</v>
      </c>
      <c r="E104" s="19">
        <v>6.92</v>
      </c>
      <c r="F104" s="19">
        <v>5.19</v>
      </c>
      <c r="G104" s="60">
        <v>5.76</v>
      </c>
      <c r="H104" s="60">
        <v>4.32</v>
      </c>
      <c r="I104" s="60">
        <v>6.64</v>
      </c>
      <c r="J104" s="60">
        <v>4.98</v>
      </c>
      <c r="K104" s="60">
        <v>19.28</v>
      </c>
      <c r="L104" s="60">
        <f>K104*150/200</f>
        <v>14.46</v>
      </c>
      <c r="M104" s="60">
        <v>160</v>
      </c>
      <c r="N104" s="60">
        <v>120</v>
      </c>
      <c r="O104" s="61">
        <v>0.09</v>
      </c>
      <c r="P104" s="60">
        <f>O104*150/200</f>
        <v>0.0675</v>
      </c>
      <c r="Q104" s="61">
        <v>0.14</v>
      </c>
      <c r="R104" s="60">
        <f>Q104*150/200</f>
        <v>0.10500000000000002</v>
      </c>
      <c r="S104" s="61">
        <v>0.9</v>
      </c>
      <c r="T104" s="60">
        <v>0.67</v>
      </c>
      <c r="U104" s="20">
        <v>129.32</v>
      </c>
      <c r="V104" s="19">
        <f>U104*150/200</f>
        <v>96.99</v>
      </c>
      <c r="W104" s="20">
        <v>0.42</v>
      </c>
      <c r="X104" s="19">
        <f>W104*150/200</f>
        <v>0.315</v>
      </c>
    </row>
    <row r="105" spans="1:31" ht="15.75" customHeight="1">
      <c r="A105" s="118" t="s">
        <v>50</v>
      </c>
      <c r="B105" s="58" t="s">
        <v>40</v>
      </c>
      <c r="C105" s="59" t="s">
        <v>26</v>
      </c>
      <c r="D105" s="59" t="s">
        <v>22</v>
      </c>
      <c r="E105" s="60">
        <v>5.92</v>
      </c>
      <c r="F105" s="60">
        <v>4.78</v>
      </c>
      <c r="G105" s="60">
        <v>2.85</v>
      </c>
      <c r="H105" s="61">
        <v>2.34</v>
      </c>
      <c r="I105" s="60">
        <v>2.41</v>
      </c>
      <c r="J105" s="61">
        <v>2</v>
      </c>
      <c r="K105" s="60">
        <v>14.36</v>
      </c>
      <c r="L105" s="61">
        <v>10.63</v>
      </c>
      <c r="M105" s="60">
        <v>91</v>
      </c>
      <c r="N105" s="61">
        <v>70</v>
      </c>
      <c r="O105" s="60">
        <f>P105*180/150</f>
        <v>0.012</v>
      </c>
      <c r="P105" s="68">
        <v>0.01</v>
      </c>
      <c r="Q105" s="60">
        <f>R105*180/150</f>
        <v>0.084</v>
      </c>
      <c r="R105" s="68">
        <v>0.07</v>
      </c>
      <c r="S105" s="60">
        <v>1.17</v>
      </c>
      <c r="T105" s="61">
        <f>S105*150/180</f>
        <v>0.975</v>
      </c>
      <c r="U105" s="60">
        <f>V105*180/150</f>
        <v>57.516</v>
      </c>
      <c r="V105" s="68">
        <v>47.93</v>
      </c>
      <c r="W105" s="60">
        <f>X105*180/150</f>
        <v>0.264</v>
      </c>
      <c r="X105" s="68">
        <v>0.22</v>
      </c>
      <c r="Y105" s="22"/>
      <c r="Z105" s="22"/>
      <c r="AA105" s="22"/>
      <c r="AB105" s="22"/>
      <c r="AC105" s="22"/>
      <c r="AD105" s="22"/>
      <c r="AE105" s="22"/>
    </row>
    <row r="106" spans="1:32" ht="15" customHeight="1">
      <c r="A106" s="16"/>
      <c r="B106" s="17" t="s">
        <v>23</v>
      </c>
      <c r="C106" s="18"/>
      <c r="D106" s="18"/>
      <c r="E106" s="28">
        <f>SUM(E102:E105)</f>
        <v>22.119999999999997</v>
      </c>
      <c r="F106" s="28">
        <f>SUM(F102:F105)</f>
        <v>19.25</v>
      </c>
      <c r="G106" s="28">
        <f aca="true" t="shared" si="27" ref="G106:T106">SUM(G102:G105)</f>
        <v>16.61</v>
      </c>
      <c r="H106" s="28">
        <f t="shared" si="27"/>
        <v>14.66</v>
      </c>
      <c r="I106" s="28">
        <f t="shared" si="27"/>
        <v>15.6</v>
      </c>
      <c r="J106" s="28">
        <f t="shared" si="27"/>
        <v>13.530000000000001</v>
      </c>
      <c r="K106" s="28">
        <f t="shared" si="27"/>
        <v>44.34</v>
      </c>
      <c r="L106" s="28">
        <f t="shared" si="27"/>
        <v>35.790000000000006</v>
      </c>
      <c r="M106" s="28">
        <f t="shared" si="27"/>
        <v>384.75</v>
      </c>
      <c r="N106" s="28">
        <f t="shared" si="27"/>
        <v>323.75</v>
      </c>
      <c r="O106" s="28">
        <f t="shared" si="27"/>
        <v>0.21200000000000002</v>
      </c>
      <c r="P106" s="28">
        <f t="shared" si="27"/>
        <v>0.16083333333333336</v>
      </c>
      <c r="Q106" s="28">
        <f t="shared" si="27"/>
        <v>0.464</v>
      </c>
      <c r="R106" s="28">
        <f t="shared" si="27"/>
        <v>0.395</v>
      </c>
      <c r="S106" s="28">
        <f t="shared" si="27"/>
        <v>2.21</v>
      </c>
      <c r="T106" s="28">
        <f t="shared" si="27"/>
        <v>1.7850000000000001</v>
      </c>
      <c r="U106" s="28">
        <f>SUM(U102:U105)</f>
        <v>279.636</v>
      </c>
      <c r="V106" s="28">
        <f>SUM(V102:V105)</f>
        <v>214.12</v>
      </c>
      <c r="W106" s="28">
        <f>SUM(W102:W105)</f>
        <v>2.574</v>
      </c>
      <c r="X106" s="76">
        <f>SUM(X102:X105)</f>
        <v>2.1550000000000002</v>
      </c>
      <c r="Y106" s="73"/>
      <c r="Z106" s="73"/>
      <c r="AA106" s="73"/>
      <c r="AB106" s="73"/>
      <c r="AC106" s="73"/>
      <c r="AD106" s="22"/>
      <c r="AE106" s="22"/>
      <c r="AF106" s="22"/>
    </row>
    <row r="107" spans="1:32" ht="15" customHeight="1">
      <c r="A107" s="16"/>
      <c r="B107" s="87" t="s">
        <v>41</v>
      </c>
      <c r="C107" s="18"/>
      <c r="D107" s="18"/>
      <c r="E107" s="33"/>
      <c r="F107" s="33"/>
      <c r="G107" s="19"/>
      <c r="H107" s="20"/>
      <c r="I107" s="20"/>
      <c r="J107" s="20"/>
      <c r="K107" s="20"/>
      <c r="L107" s="20"/>
      <c r="M107" s="20"/>
      <c r="N107" s="20"/>
      <c r="O107" s="29"/>
      <c r="P107" s="29"/>
      <c r="Q107" s="29"/>
      <c r="R107" s="29"/>
      <c r="S107" s="29"/>
      <c r="T107" s="29"/>
      <c r="U107" s="29"/>
      <c r="V107" s="29"/>
      <c r="W107" s="29"/>
      <c r="X107" s="77"/>
      <c r="Y107" s="22"/>
      <c r="Z107" s="37"/>
      <c r="AA107" s="37"/>
      <c r="AB107" s="37"/>
      <c r="AC107" s="22"/>
      <c r="AD107" s="22"/>
      <c r="AE107" s="22"/>
      <c r="AF107" s="22"/>
    </row>
    <row r="108" spans="1:30" ht="15" customHeight="1">
      <c r="A108" s="119" t="s">
        <v>43</v>
      </c>
      <c r="B108" s="17" t="s">
        <v>69</v>
      </c>
      <c r="C108" s="18" t="s">
        <v>164</v>
      </c>
      <c r="D108" s="18" t="s">
        <v>135</v>
      </c>
      <c r="E108" s="19">
        <v>14</v>
      </c>
      <c r="F108" s="19">
        <v>11.12</v>
      </c>
      <c r="G108" s="25">
        <f>H108*170/135</f>
        <v>5.1</v>
      </c>
      <c r="H108" s="25">
        <v>4.05</v>
      </c>
      <c r="I108" s="25">
        <f>J108*170/135</f>
        <v>4.256296296296297</v>
      </c>
      <c r="J108" s="25">
        <v>3.38</v>
      </c>
      <c r="K108" s="25">
        <f>L108*170/135</f>
        <v>6.800000000000001</v>
      </c>
      <c r="L108" s="25">
        <v>5.4</v>
      </c>
      <c r="M108" s="25">
        <f>N108*170/135</f>
        <v>85.85629629629629</v>
      </c>
      <c r="N108" s="25">
        <v>68.18</v>
      </c>
      <c r="O108" s="25">
        <f>P108*180/150</f>
        <v>0.06</v>
      </c>
      <c r="P108" s="25">
        <v>0.05</v>
      </c>
      <c r="Q108" s="25">
        <f>R108*180/150</f>
        <v>0.31200000000000006</v>
      </c>
      <c r="R108" s="25">
        <v>0.26</v>
      </c>
      <c r="S108" s="25">
        <f>T108*170/135</f>
        <v>3.4000000000000004</v>
      </c>
      <c r="T108" s="25">
        <v>2.7</v>
      </c>
      <c r="U108" s="60">
        <v>235.31</v>
      </c>
      <c r="V108" s="61">
        <f>U108*150/180</f>
        <v>196.09166666666667</v>
      </c>
      <c r="W108" s="60">
        <v>0.19</v>
      </c>
      <c r="X108" s="81">
        <f>W108*150/180</f>
        <v>0.15833333333333333</v>
      </c>
      <c r="Y108" s="79"/>
      <c r="Z108" s="37"/>
      <c r="AA108" s="37"/>
      <c r="AB108" s="37"/>
      <c r="AC108" s="37"/>
      <c r="AD108" s="37"/>
    </row>
    <row r="109" spans="1:32" ht="15" customHeight="1">
      <c r="A109" s="16"/>
      <c r="B109" s="17" t="s">
        <v>23</v>
      </c>
      <c r="C109" s="18"/>
      <c r="D109" s="116"/>
      <c r="E109" s="117">
        <f>SUM(E108)</f>
        <v>14</v>
      </c>
      <c r="F109" s="117">
        <f>SUM(F108)</f>
        <v>11.12</v>
      </c>
      <c r="G109" s="117">
        <f aca="true" t="shared" si="28" ref="G109:T109">SUM(G108)</f>
        <v>5.1</v>
      </c>
      <c r="H109" s="117">
        <f t="shared" si="28"/>
        <v>4.05</v>
      </c>
      <c r="I109" s="117">
        <f t="shared" si="28"/>
        <v>4.256296296296297</v>
      </c>
      <c r="J109" s="117">
        <f t="shared" si="28"/>
        <v>3.38</v>
      </c>
      <c r="K109" s="117">
        <f t="shared" si="28"/>
        <v>6.800000000000001</v>
      </c>
      <c r="L109" s="117">
        <f t="shared" si="28"/>
        <v>5.4</v>
      </c>
      <c r="M109" s="117">
        <f t="shared" si="28"/>
        <v>85.85629629629629</v>
      </c>
      <c r="N109" s="117">
        <f t="shared" si="28"/>
        <v>68.18</v>
      </c>
      <c r="O109" s="117">
        <f t="shared" si="28"/>
        <v>0.06</v>
      </c>
      <c r="P109" s="117">
        <f t="shared" si="28"/>
        <v>0.05</v>
      </c>
      <c r="Q109" s="117">
        <f t="shared" si="28"/>
        <v>0.31200000000000006</v>
      </c>
      <c r="R109" s="117">
        <f t="shared" si="28"/>
        <v>0.26</v>
      </c>
      <c r="S109" s="117">
        <f t="shared" si="28"/>
        <v>3.4000000000000004</v>
      </c>
      <c r="T109" s="117">
        <f t="shared" si="28"/>
        <v>2.7</v>
      </c>
      <c r="U109" s="28">
        <f>SUM(U108)</f>
        <v>235.31</v>
      </c>
      <c r="V109" s="28">
        <f>SUM(V108)</f>
        <v>196.09166666666667</v>
      </c>
      <c r="W109" s="28">
        <f>SUM(W108)</f>
        <v>0.19</v>
      </c>
      <c r="X109" s="76">
        <f>SUM(X108)</f>
        <v>0.15833333333333333</v>
      </c>
      <c r="Y109" s="73"/>
      <c r="Z109" s="73"/>
      <c r="AA109" s="73"/>
      <c r="AB109" s="73"/>
      <c r="AC109" s="73"/>
      <c r="AD109" s="22"/>
      <c r="AE109" s="22"/>
      <c r="AF109" s="22"/>
    </row>
    <row r="110" spans="1:32" ht="15" customHeight="1">
      <c r="A110" s="16"/>
      <c r="B110" s="87" t="s">
        <v>27</v>
      </c>
      <c r="C110" s="18"/>
      <c r="D110" s="18"/>
      <c r="E110" s="34"/>
      <c r="F110" s="34"/>
      <c r="G110" s="19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9"/>
      <c r="U110" s="29"/>
      <c r="V110" s="29"/>
      <c r="W110" s="29"/>
      <c r="X110" s="77"/>
      <c r="Y110" s="22"/>
      <c r="Z110" s="37"/>
      <c r="AA110" s="37"/>
      <c r="AB110" s="37"/>
      <c r="AC110" s="22"/>
      <c r="AD110" s="22"/>
      <c r="AE110" s="22"/>
      <c r="AF110" s="22"/>
    </row>
    <row r="111" spans="1:24" ht="15" customHeight="1">
      <c r="A111" s="135" t="s">
        <v>78</v>
      </c>
      <c r="B111" s="136" t="s">
        <v>144</v>
      </c>
      <c r="C111" s="18" t="s">
        <v>28</v>
      </c>
      <c r="D111" s="18" t="s">
        <v>159</v>
      </c>
      <c r="E111" s="19">
        <v>2.32</v>
      </c>
      <c r="F111" s="19">
        <v>1.74</v>
      </c>
      <c r="G111" s="19">
        <f>H111*60/45</f>
        <v>1.32</v>
      </c>
      <c r="H111" s="20">
        <v>0.99</v>
      </c>
      <c r="I111" s="19">
        <f>J111*60/45</f>
        <v>4.56</v>
      </c>
      <c r="J111" s="20">
        <v>3.42</v>
      </c>
      <c r="K111" s="19">
        <f>L111*60/45</f>
        <v>6.84</v>
      </c>
      <c r="L111" s="20">
        <v>5.13</v>
      </c>
      <c r="M111" s="19">
        <f>N111*60/45</f>
        <v>76.8</v>
      </c>
      <c r="N111" s="20">
        <v>57.6</v>
      </c>
      <c r="O111" s="19">
        <f>P111*60/45</f>
        <v>0.013333333333333332</v>
      </c>
      <c r="P111" s="26">
        <v>0.01</v>
      </c>
      <c r="Q111" s="19">
        <f>R111*60/45</f>
        <v>0.026666666666666665</v>
      </c>
      <c r="R111" s="26">
        <v>0.02</v>
      </c>
      <c r="S111" s="19">
        <f>T111*60/45</f>
        <v>7.679999999999999</v>
      </c>
      <c r="T111" s="20">
        <v>5.76</v>
      </c>
      <c r="U111" s="19">
        <f>V111*60/45</f>
        <v>22.733333333333334</v>
      </c>
      <c r="V111" s="26">
        <v>17.05</v>
      </c>
      <c r="W111" s="19">
        <f>X111*60/45</f>
        <v>0.8666666666666667</v>
      </c>
      <c r="X111" s="26">
        <v>0.65</v>
      </c>
    </row>
    <row r="112" spans="1:24" s="31" customFormat="1" ht="27" customHeight="1">
      <c r="A112" s="16" t="s">
        <v>133</v>
      </c>
      <c r="B112" s="23" t="s">
        <v>134</v>
      </c>
      <c r="C112" s="18" t="s">
        <v>73</v>
      </c>
      <c r="D112" s="18" t="s">
        <v>74</v>
      </c>
      <c r="E112" s="132">
        <v>12.21</v>
      </c>
      <c r="F112" s="19">
        <v>11.17</v>
      </c>
      <c r="G112" s="25">
        <v>6.72</v>
      </c>
      <c r="H112" s="25">
        <v>4.61</v>
      </c>
      <c r="I112" s="25">
        <v>8.51</v>
      </c>
      <c r="J112" s="25">
        <v>4.77</v>
      </c>
      <c r="K112" s="25">
        <v>20.31</v>
      </c>
      <c r="L112" s="25">
        <v>17.89</v>
      </c>
      <c r="M112" s="25">
        <v>140.12</v>
      </c>
      <c r="N112" s="25">
        <v>115.5</v>
      </c>
      <c r="O112" s="27">
        <v>0.14</v>
      </c>
      <c r="P112" s="133">
        <v>0.11</v>
      </c>
      <c r="Q112" s="27">
        <v>0.11</v>
      </c>
      <c r="R112" s="133">
        <v>0.11</v>
      </c>
      <c r="S112" s="27">
        <v>10.78</v>
      </c>
      <c r="T112" s="133">
        <v>10.78</v>
      </c>
      <c r="U112" s="27">
        <v>18.09</v>
      </c>
      <c r="V112" s="133">
        <v>18.09</v>
      </c>
      <c r="W112" s="27">
        <v>1.07</v>
      </c>
      <c r="X112" s="133">
        <v>1.07</v>
      </c>
    </row>
    <row r="113" spans="1:31" s="31" customFormat="1" ht="15" customHeight="1">
      <c r="A113" s="118" t="s">
        <v>87</v>
      </c>
      <c r="B113" s="128" t="s">
        <v>88</v>
      </c>
      <c r="C113" s="105" t="s">
        <v>85</v>
      </c>
      <c r="D113" s="105" t="s">
        <v>85</v>
      </c>
      <c r="E113" s="33">
        <v>34.76</v>
      </c>
      <c r="F113" s="33">
        <v>34.76</v>
      </c>
      <c r="G113" s="62">
        <v>13.9</v>
      </c>
      <c r="H113" s="62">
        <v>13.9</v>
      </c>
      <c r="I113" s="62">
        <v>6.5</v>
      </c>
      <c r="J113" s="62">
        <v>6.5</v>
      </c>
      <c r="K113" s="62">
        <v>4</v>
      </c>
      <c r="L113" s="62">
        <v>4</v>
      </c>
      <c r="M113" s="62">
        <v>132</v>
      </c>
      <c r="N113" s="102">
        <v>132</v>
      </c>
      <c r="O113" s="61">
        <v>0.06</v>
      </c>
      <c r="P113" s="61">
        <v>0</v>
      </c>
      <c r="Q113" s="61">
        <v>0.12</v>
      </c>
      <c r="R113" s="61">
        <v>0</v>
      </c>
      <c r="S113" s="61">
        <v>0.06</v>
      </c>
      <c r="T113" s="61">
        <v>0.06</v>
      </c>
      <c r="U113" s="61">
        <v>14.33</v>
      </c>
      <c r="V113" s="61">
        <v>0</v>
      </c>
      <c r="W113" s="81">
        <v>2.25</v>
      </c>
      <c r="X113" s="61">
        <v>0</v>
      </c>
      <c r="Y113" s="36"/>
      <c r="Z113" s="101"/>
      <c r="AA113" s="101"/>
      <c r="AB113" s="101"/>
      <c r="AC113" s="101"/>
      <c r="AD113" s="30"/>
      <c r="AE113" s="30"/>
    </row>
    <row r="114" spans="1:31" ht="15" customHeight="1">
      <c r="A114" s="119" t="s">
        <v>48</v>
      </c>
      <c r="B114" s="23" t="s">
        <v>49</v>
      </c>
      <c r="C114" s="18" t="s">
        <v>59</v>
      </c>
      <c r="D114" s="18" t="s">
        <v>82</v>
      </c>
      <c r="E114" s="40">
        <v>3.33</v>
      </c>
      <c r="F114" s="40">
        <v>2.56</v>
      </c>
      <c r="G114" s="20">
        <v>4.78</v>
      </c>
      <c r="H114" s="20">
        <v>3.82</v>
      </c>
      <c r="I114" s="20">
        <v>4.72</v>
      </c>
      <c r="J114" s="20">
        <v>3.39</v>
      </c>
      <c r="K114" s="20">
        <v>25.99</v>
      </c>
      <c r="L114" s="20">
        <v>20.79</v>
      </c>
      <c r="M114" s="20">
        <v>165.56</v>
      </c>
      <c r="N114" s="20">
        <v>129</v>
      </c>
      <c r="O114" s="25">
        <v>0.09</v>
      </c>
      <c r="P114" s="20">
        <f>O114/1.5</f>
        <v>0.06</v>
      </c>
      <c r="Q114" s="25">
        <v>0.06</v>
      </c>
      <c r="R114" s="20">
        <f>Q114/1.5</f>
        <v>0.04</v>
      </c>
      <c r="S114" s="25">
        <v>0</v>
      </c>
      <c r="T114" s="20">
        <f>S114/1.5</f>
        <v>0</v>
      </c>
      <c r="U114" s="25">
        <v>12.89</v>
      </c>
      <c r="V114" s="20">
        <f>U114/1.5</f>
        <v>8.593333333333334</v>
      </c>
      <c r="W114" s="25">
        <v>0.78</v>
      </c>
      <c r="X114" s="75">
        <f>W114/1.5</f>
        <v>0.52</v>
      </c>
      <c r="Y114" s="22"/>
      <c r="Z114" s="22"/>
      <c r="AA114" s="22"/>
      <c r="AB114" s="22"/>
      <c r="AC114" s="22"/>
      <c r="AD114" s="22"/>
      <c r="AE114" s="22"/>
    </row>
    <row r="115" spans="1:33" ht="15" customHeight="1">
      <c r="A115" s="119" t="s">
        <v>112</v>
      </c>
      <c r="B115" s="124" t="s">
        <v>113</v>
      </c>
      <c r="C115" s="71" t="s">
        <v>21</v>
      </c>
      <c r="D115" s="71" t="s">
        <v>22</v>
      </c>
      <c r="E115" s="34">
        <v>2.41</v>
      </c>
      <c r="F115" s="125">
        <v>1.81</v>
      </c>
      <c r="G115" s="25">
        <v>0.2</v>
      </c>
      <c r="H115" s="26">
        <f>G115*150/200</f>
        <v>0.15</v>
      </c>
      <c r="I115" s="25">
        <v>0</v>
      </c>
      <c r="J115" s="26">
        <f>I115*150/200</f>
        <v>0</v>
      </c>
      <c r="K115" s="25">
        <v>21.6</v>
      </c>
      <c r="L115" s="26">
        <f>K115*150/200</f>
        <v>16.2</v>
      </c>
      <c r="M115" s="25">
        <v>87.2</v>
      </c>
      <c r="N115" s="26">
        <f>M115*150/200</f>
        <v>65.4</v>
      </c>
      <c r="O115" s="25">
        <v>0.01</v>
      </c>
      <c r="P115" s="20">
        <f>O115*150/200</f>
        <v>0.0075</v>
      </c>
      <c r="Q115" s="25">
        <v>0.01</v>
      </c>
      <c r="R115" s="20">
        <f>Q115*150/200</f>
        <v>0.0075</v>
      </c>
      <c r="S115" s="25">
        <v>25.8</v>
      </c>
      <c r="T115" s="20">
        <f>S115*150/200</f>
        <v>19.35</v>
      </c>
      <c r="U115" s="25">
        <v>11.5</v>
      </c>
      <c r="V115" s="20">
        <f>U115*150/200</f>
        <v>8.625</v>
      </c>
      <c r="W115" s="106">
        <v>0.48</v>
      </c>
      <c r="X115" s="39">
        <f>W115*150/200</f>
        <v>0.36</v>
      </c>
      <c r="Y115" s="80"/>
      <c r="Z115" s="22"/>
      <c r="AA115" s="22"/>
      <c r="AB115" s="22"/>
      <c r="AC115" s="22"/>
      <c r="AD115" s="22"/>
      <c r="AE115" s="22"/>
      <c r="AF115" s="22"/>
      <c r="AG115" s="22"/>
    </row>
    <row r="116" spans="1:31" s="67" customFormat="1" ht="15" customHeight="1">
      <c r="A116" s="118"/>
      <c r="B116" s="58" t="s">
        <v>30</v>
      </c>
      <c r="C116" s="59" t="s">
        <v>31</v>
      </c>
      <c r="D116" s="59" t="s">
        <v>31</v>
      </c>
      <c r="E116" s="60">
        <v>1.11</v>
      </c>
      <c r="F116" s="60">
        <v>1.11</v>
      </c>
      <c r="G116" s="60">
        <v>1.6</v>
      </c>
      <c r="H116" s="60">
        <v>1.6</v>
      </c>
      <c r="I116" s="60">
        <v>0.4</v>
      </c>
      <c r="J116" s="60">
        <v>0.4</v>
      </c>
      <c r="K116" s="60">
        <v>10</v>
      </c>
      <c r="L116" s="60">
        <v>10</v>
      </c>
      <c r="M116" s="61">
        <v>54</v>
      </c>
      <c r="N116" s="61">
        <v>54</v>
      </c>
      <c r="O116" s="64">
        <v>0.04</v>
      </c>
      <c r="P116" s="65">
        <v>0.04</v>
      </c>
      <c r="Q116" s="64">
        <v>0.02</v>
      </c>
      <c r="R116" s="65">
        <v>0.02</v>
      </c>
      <c r="S116" s="64">
        <v>0</v>
      </c>
      <c r="T116" s="65">
        <v>0</v>
      </c>
      <c r="U116" s="64">
        <v>7.4</v>
      </c>
      <c r="V116" s="65">
        <v>7.4</v>
      </c>
      <c r="W116" s="64">
        <v>0.56</v>
      </c>
      <c r="X116" s="65">
        <v>0.56</v>
      </c>
      <c r="Y116" s="66"/>
      <c r="Z116" s="66"/>
      <c r="AA116" s="66"/>
      <c r="AB116" s="66"/>
      <c r="AC116" s="66"/>
      <c r="AD116" s="66"/>
      <c r="AE116" s="66"/>
    </row>
    <row r="117" spans="1:31" ht="15" customHeight="1">
      <c r="A117" s="118"/>
      <c r="B117" s="58" t="s">
        <v>32</v>
      </c>
      <c r="C117" s="59" t="s">
        <v>75</v>
      </c>
      <c r="D117" s="59" t="s">
        <v>76</v>
      </c>
      <c r="E117" s="60">
        <v>2.09</v>
      </c>
      <c r="F117" s="60">
        <v>1.83</v>
      </c>
      <c r="G117" s="60">
        <v>3.25</v>
      </c>
      <c r="H117" s="61">
        <v>2.84</v>
      </c>
      <c r="I117" s="61">
        <v>0.46</v>
      </c>
      <c r="J117" s="61">
        <f>I117*40.6/46</f>
        <v>0.406</v>
      </c>
      <c r="K117" s="61">
        <v>20.88</v>
      </c>
      <c r="L117" s="61">
        <v>18.27</v>
      </c>
      <c r="M117" s="61">
        <v>102.08</v>
      </c>
      <c r="N117" s="61">
        <v>89.32</v>
      </c>
      <c r="O117" s="62">
        <v>0.06</v>
      </c>
      <c r="P117" s="68">
        <v>0.04</v>
      </c>
      <c r="Q117" s="62">
        <v>0.04</v>
      </c>
      <c r="R117" s="68">
        <v>0.03</v>
      </c>
      <c r="S117" s="62">
        <v>0</v>
      </c>
      <c r="T117" s="61">
        <f>S117*40.6/46</f>
        <v>0</v>
      </c>
      <c r="U117" s="64">
        <v>17</v>
      </c>
      <c r="V117" s="65">
        <v>13.6</v>
      </c>
      <c r="W117" s="64">
        <v>1.15</v>
      </c>
      <c r="X117" s="65">
        <v>0.92</v>
      </c>
      <c r="Y117" s="22"/>
      <c r="Z117" s="22"/>
      <c r="AA117" s="22"/>
      <c r="AB117" s="22"/>
      <c r="AC117" s="22"/>
      <c r="AD117" s="22"/>
      <c r="AE117" s="22"/>
    </row>
    <row r="118" spans="1:32" ht="15" customHeight="1">
      <c r="A118" s="16"/>
      <c r="B118" s="17" t="s">
        <v>23</v>
      </c>
      <c r="C118" s="18"/>
      <c r="D118" s="18"/>
      <c r="E118" s="28">
        <f>SUM(E111:E117)</f>
        <v>58.230000000000004</v>
      </c>
      <c r="F118" s="28">
        <f>SUM(F111:F117)</f>
        <v>54.980000000000004</v>
      </c>
      <c r="G118" s="28">
        <f>SUM(G111:G117)-3.5</f>
        <v>28.27</v>
      </c>
      <c r="H118" s="28">
        <f>SUM(H111:H117)-4</f>
        <v>23.91</v>
      </c>
      <c r="I118" s="28">
        <f>SUM(I111:I117)</f>
        <v>25.15</v>
      </c>
      <c r="J118" s="28">
        <f>SUM(J111:J117)</f>
        <v>18.885999999999996</v>
      </c>
      <c r="K118" s="28">
        <f>SUM(K111:K117)+8</f>
        <v>117.62</v>
      </c>
      <c r="L118" s="28">
        <f>SUM(L111:L117)+0</f>
        <v>92.28</v>
      </c>
      <c r="M118" s="28">
        <f>SUM(M111:M117)-0</f>
        <v>757.7600000000001</v>
      </c>
      <c r="N118" s="28">
        <f>SUM(N111:N117)-23</f>
        <v>619.8199999999999</v>
      </c>
      <c r="O118" s="28">
        <f>SUM(O111:O117)</f>
        <v>0.41333333333333333</v>
      </c>
      <c r="P118" s="28">
        <f>SUM(P111:P117)</f>
        <v>0.2675</v>
      </c>
      <c r="Q118" s="28">
        <f>SUM(Q111:Q117)</f>
        <v>0.38666666666666666</v>
      </c>
      <c r="R118" s="28">
        <f>SUM(R111:R117)</f>
        <v>0.2275</v>
      </c>
      <c r="S118" s="28">
        <f>SUM(S111:S117)-6</f>
        <v>38.31999999999999</v>
      </c>
      <c r="T118" s="28">
        <f>SUM(T111:T117)-1</f>
        <v>34.95</v>
      </c>
      <c r="U118" s="28">
        <f aca="true" t="shared" si="29" ref="U118:AB118">SUM(U111:U117)-3</f>
        <v>100.94333333333334</v>
      </c>
      <c r="V118" s="28">
        <f t="shared" si="29"/>
        <v>70.35833333333333</v>
      </c>
      <c r="W118" s="28">
        <f t="shared" si="29"/>
        <v>4.156666666666668</v>
      </c>
      <c r="X118" s="28">
        <f t="shared" si="29"/>
        <v>1.08</v>
      </c>
      <c r="Y118" s="28">
        <f t="shared" si="29"/>
        <v>-3</v>
      </c>
      <c r="Z118" s="28">
        <f t="shared" si="29"/>
        <v>-3</v>
      </c>
      <c r="AA118" s="28">
        <f t="shared" si="29"/>
        <v>-3</v>
      </c>
      <c r="AB118" s="28">
        <f t="shared" si="29"/>
        <v>-3</v>
      </c>
      <c r="AC118" s="73"/>
      <c r="AD118" s="73"/>
      <c r="AE118" s="73"/>
      <c r="AF118" s="73"/>
    </row>
    <row r="119" spans="1:32" ht="15" customHeight="1">
      <c r="A119" s="16"/>
      <c r="B119" s="87" t="s">
        <v>33</v>
      </c>
      <c r="C119" s="18"/>
      <c r="D119" s="1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9"/>
      <c r="P119" s="29"/>
      <c r="Q119" s="29"/>
      <c r="R119" s="29"/>
      <c r="S119" s="29"/>
      <c r="T119" s="29"/>
      <c r="U119" s="29"/>
      <c r="V119" s="29"/>
      <c r="W119" s="29"/>
      <c r="X119" s="77"/>
      <c r="Y119" s="22"/>
      <c r="Z119" s="37"/>
      <c r="AA119" s="37"/>
      <c r="AB119" s="37"/>
      <c r="AC119" s="22"/>
      <c r="AD119" s="22"/>
      <c r="AE119" s="22"/>
      <c r="AF119" s="22"/>
    </row>
    <row r="120" spans="1:30" ht="26.25" customHeight="1">
      <c r="A120" s="118" t="s">
        <v>34</v>
      </c>
      <c r="B120" s="58" t="s">
        <v>151</v>
      </c>
      <c r="C120" s="59" t="s">
        <v>156</v>
      </c>
      <c r="D120" s="59" t="s">
        <v>156</v>
      </c>
      <c r="E120" s="60">
        <v>11.8</v>
      </c>
      <c r="F120" s="60">
        <v>11.8</v>
      </c>
      <c r="G120" s="109">
        <v>6.75</v>
      </c>
      <c r="H120" s="61">
        <v>6.75</v>
      </c>
      <c r="I120" s="109">
        <v>7.02</v>
      </c>
      <c r="J120" s="61">
        <v>7.02</v>
      </c>
      <c r="K120" s="109">
        <v>21.15</v>
      </c>
      <c r="L120" s="61">
        <v>21.15</v>
      </c>
      <c r="M120" s="109">
        <v>174.78</v>
      </c>
      <c r="N120" s="61">
        <v>174.78</v>
      </c>
      <c r="O120" s="109">
        <v>0.1</v>
      </c>
      <c r="P120" s="61">
        <f>O120*215/230</f>
        <v>0.09347826086956522</v>
      </c>
      <c r="Q120" s="109">
        <v>0.29</v>
      </c>
      <c r="R120" s="61">
        <f>Q120*215/230</f>
        <v>0.2710869565217391</v>
      </c>
      <c r="S120" s="109">
        <v>2.46</v>
      </c>
      <c r="T120" s="61">
        <v>2.46</v>
      </c>
      <c r="U120" s="60">
        <v>275.74</v>
      </c>
      <c r="V120" s="61">
        <v>275.74</v>
      </c>
      <c r="W120" s="60">
        <v>0.23</v>
      </c>
      <c r="X120" s="81">
        <v>0.23</v>
      </c>
      <c r="Y120" s="79"/>
      <c r="Z120" s="37"/>
      <c r="AA120" s="37"/>
      <c r="AB120" s="37"/>
      <c r="AC120" s="37"/>
      <c r="AD120" s="32"/>
    </row>
    <row r="121" spans="1:32" ht="15" customHeight="1">
      <c r="A121" s="16"/>
      <c r="B121" s="17" t="s">
        <v>23</v>
      </c>
      <c r="C121" s="18"/>
      <c r="D121" s="18"/>
      <c r="E121" s="28">
        <f>SUM(E120)</f>
        <v>11.8</v>
      </c>
      <c r="F121" s="28">
        <f>SUM(F120)</f>
        <v>11.8</v>
      </c>
      <c r="G121" s="28">
        <f aca="true" t="shared" si="30" ref="G121:T121">SUM(G120)</f>
        <v>6.75</v>
      </c>
      <c r="H121" s="28">
        <f t="shared" si="30"/>
        <v>6.75</v>
      </c>
      <c r="I121" s="28">
        <f t="shared" si="30"/>
        <v>7.02</v>
      </c>
      <c r="J121" s="28">
        <f t="shared" si="30"/>
        <v>7.02</v>
      </c>
      <c r="K121" s="28">
        <f t="shared" si="30"/>
        <v>21.15</v>
      </c>
      <c r="L121" s="28">
        <f t="shared" si="30"/>
        <v>21.15</v>
      </c>
      <c r="M121" s="28">
        <f t="shared" si="30"/>
        <v>174.78</v>
      </c>
      <c r="N121" s="28">
        <f t="shared" si="30"/>
        <v>174.78</v>
      </c>
      <c r="O121" s="28">
        <f t="shared" si="30"/>
        <v>0.1</v>
      </c>
      <c r="P121" s="28">
        <f t="shared" si="30"/>
        <v>0.09347826086956522</v>
      </c>
      <c r="Q121" s="28">
        <f t="shared" si="30"/>
        <v>0.29</v>
      </c>
      <c r="R121" s="28">
        <f t="shared" si="30"/>
        <v>0.2710869565217391</v>
      </c>
      <c r="S121" s="28">
        <f t="shared" si="30"/>
        <v>2.46</v>
      </c>
      <c r="T121" s="28">
        <f t="shared" si="30"/>
        <v>2.46</v>
      </c>
      <c r="U121" s="28">
        <f>SUM(U120)</f>
        <v>275.74</v>
      </c>
      <c r="V121" s="28">
        <f>SUM(V120)</f>
        <v>275.74</v>
      </c>
      <c r="W121" s="28">
        <f>SUM(W120)</f>
        <v>0.23</v>
      </c>
      <c r="X121" s="76">
        <f>SUM(X120)</f>
        <v>0.23</v>
      </c>
      <c r="Y121" s="73"/>
      <c r="Z121" s="73"/>
      <c r="AA121" s="73"/>
      <c r="AB121" s="73"/>
      <c r="AC121" s="73"/>
      <c r="AD121" s="73"/>
      <c r="AE121" s="22"/>
      <c r="AF121" s="22"/>
    </row>
    <row r="122" spans="1:32" ht="15" customHeight="1">
      <c r="A122" s="16"/>
      <c r="B122" s="87" t="s">
        <v>36</v>
      </c>
      <c r="C122" s="18"/>
      <c r="D122" s="18"/>
      <c r="E122" s="19"/>
      <c r="F122" s="19"/>
      <c r="G122" s="19"/>
      <c r="H122" s="20"/>
      <c r="I122" s="20"/>
      <c r="J122" s="20"/>
      <c r="K122" s="20"/>
      <c r="L122" s="20"/>
      <c r="M122" s="20"/>
      <c r="N122" s="20"/>
      <c r="O122" s="29"/>
      <c r="P122" s="29"/>
      <c r="Q122" s="29"/>
      <c r="R122" s="29"/>
      <c r="S122" s="29"/>
      <c r="T122" s="29"/>
      <c r="U122" s="29"/>
      <c r="V122" s="29"/>
      <c r="W122" s="29"/>
      <c r="X122" s="77"/>
      <c r="Y122" s="22"/>
      <c r="Z122" s="37"/>
      <c r="AA122" s="37"/>
      <c r="AB122" s="37"/>
      <c r="AC122" s="22"/>
      <c r="AD122" s="22"/>
      <c r="AE122" s="22"/>
      <c r="AF122" s="22"/>
    </row>
    <row r="123" spans="1:33" ht="15" customHeight="1">
      <c r="A123" s="119"/>
      <c r="B123" s="17" t="s">
        <v>131</v>
      </c>
      <c r="C123" s="18" t="s">
        <v>22</v>
      </c>
      <c r="D123" s="18" t="s">
        <v>165</v>
      </c>
      <c r="E123" s="19">
        <v>10.82</v>
      </c>
      <c r="F123" s="19">
        <v>9.88</v>
      </c>
      <c r="G123" s="19">
        <v>1.35</v>
      </c>
      <c r="H123" s="20">
        <f>G123*137/150</f>
        <v>1.233</v>
      </c>
      <c r="I123" s="19">
        <v>0</v>
      </c>
      <c r="J123" s="20">
        <v>0</v>
      </c>
      <c r="K123" s="19">
        <v>12.15</v>
      </c>
      <c r="L123" s="20">
        <f>K123*137/150</f>
        <v>11.097</v>
      </c>
      <c r="M123" s="19">
        <v>64.5</v>
      </c>
      <c r="N123" s="20">
        <f>M123*137/150</f>
        <v>58.91</v>
      </c>
      <c r="O123" s="19">
        <v>0.02</v>
      </c>
      <c r="P123" s="20">
        <v>0.02</v>
      </c>
      <c r="Q123" s="19">
        <f>R123*160/150</f>
        <v>0.05333333333333334</v>
      </c>
      <c r="R123" s="20">
        <v>0.05</v>
      </c>
      <c r="S123" s="19">
        <v>23</v>
      </c>
      <c r="T123" s="20">
        <f>S123*137/150</f>
        <v>21.006666666666668</v>
      </c>
      <c r="U123" s="19">
        <v>24</v>
      </c>
      <c r="V123" s="20">
        <v>24</v>
      </c>
      <c r="W123" s="19">
        <v>3.3</v>
      </c>
      <c r="X123" s="39">
        <v>3.3</v>
      </c>
      <c r="Y123" s="80"/>
      <c r="Z123" s="37"/>
      <c r="AA123" s="37"/>
      <c r="AB123" s="37"/>
      <c r="AC123" s="22"/>
      <c r="AD123" s="22"/>
      <c r="AE123" s="22"/>
      <c r="AF123" s="22"/>
      <c r="AG123" s="22"/>
    </row>
    <row r="124" spans="1:29" s="36" customFormat="1" ht="25.5" customHeight="1">
      <c r="A124" s="118" t="s">
        <v>103</v>
      </c>
      <c r="B124" s="58" t="s">
        <v>104</v>
      </c>
      <c r="C124" s="59" t="s">
        <v>89</v>
      </c>
      <c r="D124" s="59" t="s">
        <v>62</v>
      </c>
      <c r="E124" s="60">
        <v>10.39</v>
      </c>
      <c r="F124" s="60">
        <v>8.32</v>
      </c>
      <c r="G124" s="60">
        <v>6.12</v>
      </c>
      <c r="H124" s="61">
        <v>4.8</v>
      </c>
      <c r="I124" s="60">
        <v>16.41</v>
      </c>
      <c r="J124" s="61">
        <v>14</v>
      </c>
      <c r="K124" s="60">
        <v>27.9</v>
      </c>
      <c r="L124" s="61">
        <v>20.1</v>
      </c>
      <c r="M124" s="60">
        <v>283.77</v>
      </c>
      <c r="N124" s="61">
        <v>225.6</v>
      </c>
      <c r="O124" s="61">
        <v>0.2</v>
      </c>
      <c r="P124" s="61">
        <v>0.14</v>
      </c>
      <c r="Q124" s="61">
        <v>0.13</v>
      </c>
      <c r="R124" s="61">
        <v>0.1</v>
      </c>
      <c r="S124" s="60">
        <v>13.5</v>
      </c>
      <c r="T124" s="61">
        <v>11.2</v>
      </c>
      <c r="U124" s="61">
        <v>95.29</v>
      </c>
      <c r="V124" s="61">
        <v>73.98</v>
      </c>
      <c r="W124" s="61">
        <v>2.33</v>
      </c>
      <c r="X124" s="81">
        <v>1.57</v>
      </c>
      <c r="Y124" s="103"/>
      <c r="Z124" s="101"/>
      <c r="AA124" s="101"/>
      <c r="AB124" s="101"/>
      <c r="AC124" s="101"/>
    </row>
    <row r="125" spans="1:31" ht="15" customHeight="1">
      <c r="A125" s="119" t="s">
        <v>90</v>
      </c>
      <c r="B125" s="23" t="s">
        <v>91</v>
      </c>
      <c r="C125" s="18" t="s">
        <v>21</v>
      </c>
      <c r="D125" s="18" t="s">
        <v>22</v>
      </c>
      <c r="E125" s="19">
        <v>0.51</v>
      </c>
      <c r="F125" s="19">
        <v>0.38</v>
      </c>
      <c r="G125" s="19">
        <v>0.18</v>
      </c>
      <c r="H125" s="20">
        <v>0.13</v>
      </c>
      <c r="I125" s="19">
        <f>J125*200/150</f>
        <v>0</v>
      </c>
      <c r="J125" s="20">
        <v>0</v>
      </c>
      <c r="K125" s="19">
        <v>4.78</v>
      </c>
      <c r="L125" s="20">
        <v>3.58</v>
      </c>
      <c r="M125" s="19">
        <v>19.9</v>
      </c>
      <c r="N125" s="20">
        <v>14.92</v>
      </c>
      <c r="O125" s="19">
        <f>P125*200/150</f>
        <v>0.013333333333333334</v>
      </c>
      <c r="P125" s="29">
        <v>0.01</v>
      </c>
      <c r="Q125" s="19">
        <f>R125*200/150</f>
        <v>0.013333333333333334</v>
      </c>
      <c r="R125" s="29">
        <v>0.01</v>
      </c>
      <c r="S125" s="19">
        <v>0.04</v>
      </c>
      <c r="T125" s="29">
        <v>0.03</v>
      </c>
      <c r="U125" s="19">
        <f>V125*200/150</f>
        <v>5.053333333333334</v>
      </c>
      <c r="V125" s="29">
        <v>3.79</v>
      </c>
      <c r="W125" s="19">
        <f>X125*200/150</f>
        <v>0.84</v>
      </c>
      <c r="X125" s="77">
        <v>0.63</v>
      </c>
      <c r="Y125" s="22"/>
      <c r="Z125" s="22"/>
      <c r="AA125" s="22"/>
      <c r="AB125" s="22"/>
      <c r="AC125" s="22"/>
      <c r="AD125" s="22"/>
      <c r="AE125" s="22"/>
    </row>
    <row r="126" spans="1:31" s="67" customFormat="1" ht="15" customHeight="1">
      <c r="A126" s="118"/>
      <c r="B126" s="58" t="s">
        <v>30</v>
      </c>
      <c r="C126" s="59" t="s">
        <v>31</v>
      </c>
      <c r="D126" s="59" t="s">
        <v>31</v>
      </c>
      <c r="E126" s="60">
        <v>1.11</v>
      </c>
      <c r="F126" s="60">
        <v>1.11</v>
      </c>
      <c r="G126" s="60">
        <v>1.6</v>
      </c>
      <c r="H126" s="60">
        <v>1.6</v>
      </c>
      <c r="I126" s="60">
        <v>0.4</v>
      </c>
      <c r="J126" s="60">
        <v>0.4</v>
      </c>
      <c r="K126" s="60">
        <v>10</v>
      </c>
      <c r="L126" s="60">
        <v>10</v>
      </c>
      <c r="M126" s="61">
        <v>54</v>
      </c>
      <c r="N126" s="61">
        <v>54</v>
      </c>
      <c r="O126" s="64">
        <v>0.04</v>
      </c>
      <c r="P126" s="65">
        <v>0.04</v>
      </c>
      <c r="Q126" s="64">
        <v>0.02</v>
      </c>
      <c r="R126" s="65">
        <v>0.02</v>
      </c>
      <c r="S126" s="64">
        <v>0</v>
      </c>
      <c r="T126" s="65">
        <v>0</v>
      </c>
      <c r="U126" s="64">
        <v>7.4</v>
      </c>
      <c r="V126" s="65">
        <v>7.4</v>
      </c>
      <c r="W126" s="64">
        <v>0.56</v>
      </c>
      <c r="X126" s="65">
        <v>0.56</v>
      </c>
      <c r="Y126" s="66"/>
      <c r="Z126" s="66"/>
      <c r="AA126" s="66"/>
      <c r="AB126" s="66"/>
      <c r="AC126" s="66"/>
      <c r="AD126" s="66"/>
      <c r="AE126" s="66"/>
    </row>
    <row r="127" spans="1:32" ht="15" customHeight="1">
      <c r="A127" s="16"/>
      <c r="B127" s="17" t="s">
        <v>23</v>
      </c>
      <c r="C127" s="18"/>
      <c r="D127" s="18"/>
      <c r="E127" s="28">
        <f>SUM(E123:E126)</f>
        <v>22.830000000000002</v>
      </c>
      <c r="F127" s="28">
        <f>SUM(F123:F126)</f>
        <v>19.69</v>
      </c>
      <c r="G127" s="28">
        <f aca="true" t="shared" si="31" ref="G127:T127">SUM(G123:G126)</f>
        <v>9.25</v>
      </c>
      <c r="H127" s="28">
        <f t="shared" si="31"/>
        <v>7.763</v>
      </c>
      <c r="I127" s="28">
        <f t="shared" si="31"/>
        <v>16.81</v>
      </c>
      <c r="J127" s="28">
        <f t="shared" si="31"/>
        <v>14.4</v>
      </c>
      <c r="K127" s="28">
        <f t="shared" si="31"/>
        <v>54.83</v>
      </c>
      <c r="L127" s="28">
        <f t="shared" si="31"/>
        <v>44.777</v>
      </c>
      <c r="M127" s="28">
        <f t="shared" si="31"/>
        <v>422.16999999999996</v>
      </c>
      <c r="N127" s="28">
        <f t="shared" si="31"/>
        <v>353.43</v>
      </c>
      <c r="O127" s="28">
        <f t="shared" si="31"/>
        <v>0.2733333333333333</v>
      </c>
      <c r="P127" s="28">
        <f t="shared" si="31"/>
        <v>0.21000000000000002</v>
      </c>
      <c r="Q127" s="28">
        <f t="shared" si="31"/>
        <v>0.21666666666666667</v>
      </c>
      <c r="R127" s="28">
        <f t="shared" si="31"/>
        <v>0.18000000000000002</v>
      </c>
      <c r="S127" s="28">
        <f t="shared" si="31"/>
        <v>36.54</v>
      </c>
      <c r="T127" s="28">
        <f t="shared" si="31"/>
        <v>32.236666666666665</v>
      </c>
      <c r="U127" s="28">
        <f aca="true" t="shared" si="32" ref="U127:AB127">SUM(U123:U126)</f>
        <v>131.74333333333334</v>
      </c>
      <c r="V127" s="28">
        <f t="shared" si="32"/>
        <v>109.17000000000002</v>
      </c>
      <c r="W127" s="28">
        <f t="shared" si="32"/>
        <v>7.029999999999999</v>
      </c>
      <c r="X127" s="28">
        <f t="shared" si="32"/>
        <v>6.0600000000000005</v>
      </c>
      <c r="Y127" s="28">
        <f t="shared" si="32"/>
        <v>0</v>
      </c>
      <c r="Z127" s="28">
        <f t="shared" si="32"/>
        <v>0</v>
      </c>
      <c r="AA127" s="28">
        <f t="shared" si="32"/>
        <v>0</v>
      </c>
      <c r="AB127" s="28">
        <f t="shared" si="32"/>
        <v>0</v>
      </c>
      <c r="AC127" s="73"/>
      <c r="AD127" s="22"/>
      <c r="AE127" s="22"/>
      <c r="AF127" s="22"/>
    </row>
    <row r="128" spans="1:32" ht="15" customHeight="1">
      <c r="A128" s="16"/>
      <c r="B128" s="17" t="s">
        <v>37</v>
      </c>
      <c r="C128" s="18"/>
      <c r="D128" s="18"/>
      <c r="E128" s="28">
        <f>E127+E121+E118+E109+E106</f>
        <v>128.98000000000002</v>
      </c>
      <c r="F128" s="28">
        <f>F127+F121+F118+F109+F106</f>
        <v>116.84</v>
      </c>
      <c r="G128" s="28">
        <f aca="true" t="shared" si="33" ref="G128:AB128">G127+G121+G118+G109+G106</f>
        <v>65.97999999999999</v>
      </c>
      <c r="H128" s="28">
        <f t="shared" si="33"/>
        <v>57.132999999999996</v>
      </c>
      <c r="I128" s="28">
        <f t="shared" si="33"/>
        <v>68.8362962962963</v>
      </c>
      <c r="J128" s="28">
        <f t="shared" si="33"/>
        <v>57.216</v>
      </c>
      <c r="K128" s="28">
        <f t="shared" si="33"/>
        <v>244.74</v>
      </c>
      <c r="L128" s="28">
        <f t="shared" si="33"/>
        <v>199.397</v>
      </c>
      <c r="M128" s="28">
        <f t="shared" si="33"/>
        <v>1825.3162962962963</v>
      </c>
      <c r="N128" s="28">
        <f t="shared" si="33"/>
        <v>1539.96</v>
      </c>
      <c r="O128" s="28">
        <f t="shared" si="33"/>
        <v>1.0586666666666666</v>
      </c>
      <c r="P128" s="28">
        <f t="shared" si="33"/>
        <v>0.7818115942028987</v>
      </c>
      <c r="Q128" s="28">
        <f t="shared" si="33"/>
        <v>1.6693333333333333</v>
      </c>
      <c r="R128" s="28">
        <f t="shared" si="33"/>
        <v>1.333586956521739</v>
      </c>
      <c r="S128" s="28">
        <f t="shared" si="33"/>
        <v>82.92999999999999</v>
      </c>
      <c r="T128" s="28">
        <f t="shared" si="33"/>
        <v>74.13166666666667</v>
      </c>
      <c r="U128" s="28">
        <f t="shared" si="33"/>
        <v>1023.3726666666666</v>
      </c>
      <c r="V128" s="28">
        <f t="shared" si="33"/>
        <v>865.48</v>
      </c>
      <c r="W128" s="28">
        <f t="shared" si="33"/>
        <v>14.180666666666667</v>
      </c>
      <c r="X128" s="28">
        <f t="shared" si="33"/>
        <v>9.683333333333334</v>
      </c>
      <c r="Y128" s="28">
        <f t="shared" si="33"/>
        <v>-3</v>
      </c>
      <c r="Z128" s="28">
        <f t="shared" si="33"/>
        <v>-3</v>
      </c>
      <c r="AA128" s="28">
        <f t="shared" si="33"/>
        <v>-3</v>
      </c>
      <c r="AB128" s="28">
        <f t="shared" si="33"/>
        <v>-3</v>
      </c>
      <c r="AC128" s="73"/>
      <c r="AD128" s="22"/>
      <c r="AE128" s="22"/>
      <c r="AF128" s="22"/>
    </row>
    <row r="129" spans="25:29" ht="15" customHeight="1">
      <c r="Y129" s="21"/>
      <c r="Z129" s="37"/>
      <c r="AA129" s="37"/>
      <c r="AB129" s="37"/>
      <c r="AC129" s="22"/>
    </row>
    <row r="130" spans="2:29" ht="15" customHeight="1">
      <c r="B130" s="41"/>
      <c r="C130" s="42"/>
      <c r="D130" s="42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21"/>
      <c r="Z130" s="37"/>
      <c r="AA130" s="37"/>
      <c r="AB130" s="37"/>
      <c r="AC130" s="22"/>
    </row>
    <row r="131" spans="2:29" ht="15" customHeight="1">
      <c r="B131" s="41"/>
      <c r="C131" s="42"/>
      <c r="D131" s="42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21"/>
      <c r="Z131" s="37"/>
      <c r="AA131" s="37"/>
      <c r="AB131" s="37"/>
      <c r="AC131" s="22"/>
    </row>
    <row r="132" spans="2:29" ht="15" customHeight="1">
      <c r="B132" s="41"/>
      <c r="C132" s="42"/>
      <c r="D132" s="42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21"/>
      <c r="Z132" s="37"/>
      <c r="AA132" s="37"/>
      <c r="AB132" s="37"/>
      <c r="AC132" s="22"/>
    </row>
    <row r="133" spans="2:29" ht="15" customHeight="1">
      <c r="B133" s="41"/>
      <c r="C133" s="42"/>
      <c r="D133" s="42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21"/>
      <c r="Z133" s="37"/>
      <c r="AA133" s="37"/>
      <c r="AB133" s="37"/>
      <c r="AC133" s="22"/>
    </row>
    <row r="134" spans="1:29" s="67" customFormat="1" ht="24" customHeight="1">
      <c r="A134" s="1"/>
      <c r="B134" s="147"/>
      <c r="C134" s="147"/>
      <c r="D134" s="147"/>
      <c r="E134" s="142" t="s">
        <v>4</v>
      </c>
      <c r="F134" s="142"/>
      <c r="G134" s="142" t="s">
        <v>5</v>
      </c>
      <c r="H134" s="142"/>
      <c r="I134" s="142"/>
      <c r="J134" s="142"/>
      <c r="K134" s="142"/>
      <c r="L134" s="142"/>
      <c r="M134" s="148" t="s">
        <v>6</v>
      </c>
      <c r="N134" s="148"/>
      <c r="O134" s="144" t="s">
        <v>7</v>
      </c>
      <c r="P134" s="144"/>
      <c r="Q134" s="144"/>
      <c r="R134" s="144"/>
      <c r="S134" s="144"/>
      <c r="T134" s="144"/>
      <c r="U134" s="145" t="s">
        <v>8</v>
      </c>
      <c r="V134" s="145"/>
      <c r="W134" s="145"/>
      <c r="X134" s="145"/>
      <c r="Y134" s="89"/>
      <c r="Z134" s="94"/>
      <c r="AA134" s="94"/>
      <c r="AB134" s="94"/>
      <c r="AC134" s="66"/>
    </row>
    <row r="135" spans="1:29" s="67" customFormat="1" ht="15" customHeight="1">
      <c r="A135" s="1"/>
      <c r="B135" s="147"/>
      <c r="C135" s="147"/>
      <c r="D135" s="147"/>
      <c r="E135" s="142"/>
      <c r="F135" s="142"/>
      <c r="G135" s="142" t="s">
        <v>9</v>
      </c>
      <c r="H135" s="142"/>
      <c r="I135" s="142" t="s">
        <v>10</v>
      </c>
      <c r="J135" s="142"/>
      <c r="K135" s="142" t="s">
        <v>11</v>
      </c>
      <c r="L135" s="142"/>
      <c r="M135" s="148"/>
      <c r="N135" s="148"/>
      <c r="O135" s="143" t="s">
        <v>65</v>
      </c>
      <c r="P135" s="143"/>
      <c r="Q135" s="143" t="s">
        <v>54</v>
      </c>
      <c r="R135" s="143"/>
      <c r="S135" s="143" t="s">
        <v>12</v>
      </c>
      <c r="T135" s="143"/>
      <c r="U135" s="143" t="s">
        <v>13</v>
      </c>
      <c r="V135" s="143"/>
      <c r="W135" s="146" t="s">
        <v>14</v>
      </c>
      <c r="X135" s="146"/>
      <c r="Y135" s="89"/>
      <c r="Z135" s="94"/>
      <c r="AA135" s="94"/>
      <c r="AB135" s="94"/>
      <c r="AC135" s="66"/>
    </row>
    <row r="136" spans="1:29" s="67" customFormat="1" ht="15" customHeight="1">
      <c r="A136" s="1"/>
      <c r="B136" s="147"/>
      <c r="C136" s="147"/>
      <c r="D136" s="147"/>
      <c r="E136" s="90" t="s">
        <v>15</v>
      </c>
      <c r="F136" s="90" t="s">
        <v>16</v>
      </c>
      <c r="G136" s="90" t="s">
        <v>15</v>
      </c>
      <c r="H136" s="90" t="s">
        <v>16</v>
      </c>
      <c r="I136" s="90" t="s">
        <v>15</v>
      </c>
      <c r="J136" s="90" t="s">
        <v>16</v>
      </c>
      <c r="K136" s="90" t="s">
        <v>15</v>
      </c>
      <c r="L136" s="90" t="s">
        <v>16</v>
      </c>
      <c r="M136" s="90" t="s">
        <v>15</v>
      </c>
      <c r="N136" s="90" t="s">
        <v>16</v>
      </c>
      <c r="O136" s="90" t="s">
        <v>15</v>
      </c>
      <c r="P136" s="90" t="s">
        <v>16</v>
      </c>
      <c r="Q136" s="90" t="s">
        <v>15</v>
      </c>
      <c r="R136" s="90" t="s">
        <v>16</v>
      </c>
      <c r="S136" s="90" t="s">
        <v>15</v>
      </c>
      <c r="T136" s="90" t="s">
        <v>16</v>
      </c>
      <c r="U136" s="90" t="s">
        <v>15</v>
      </c>
      <c r="V136" s="90" t="s">
        <v>16</v>
      </c>
      <c r="W136" s="90" t="s">
        <v>15</v>
      </c>
      <c r="X136" s="91" t="s">
        <v>16</v>
      </c>
      <c r="Y136" s="89"/>
      <c r="Z136" s="94"/>
      <c r="AA136" s="94"/>
      <c r="AB136" s="94"/>
      <c r="AC136" s="66"/>
    </row>
    <row r="137" spans="1:29" s="67" customFormat="1" ht="15" customHeight="1">
      <c r="A137" s="1"/>
      <c r="B137" s="141" t="s">
        <v>51</v>
      </c>
      <c r="C137" s="141"/>
      <c r="D137" s="141"/>
      <c r="E137" s="20">
        <f>E128+E99+E69+E40</f>
        <v>486.55000000000007</v>
      </c>
      <c r="F137" s="20">
        <f>F128+F99+F69+F40</f>
        <v>429.86</v>
      </c>
      <c r="G137" s="20">
        <f>G128-11+G99+G69+G40</f>
        <v>226.73444444444445</v>
      </c>
      <c r="H137" s="20">
        <f>H128-30+H99+H69+H40</f>
        <v>176.273</v>
      </c>
      <c r="I137" s="20">
        <f>I128-0+I99+I69+I40</f>
        <v>239.20592592592595</v>
      </c>
      <c r="J137" s="20">
        <f>J128-6+J99+J69+J40</f>
        <v>196.82733333333334</v>
      </c>
      <c r="K137" s="20">
        <f aca="true" t="shared" si="34" ref="K137:R137">K128+K99+K69+K40</f>
        <v>993.4199999999998</v>
      </c>
      <c r="L137" s="20">
        <f t="shared" si="34"/>
        <v>792.7536666666667</v>
      </c>
      <c r="M137" s="20">
        <f t="shared" si="34"/>
        <v>7065.97925925926</v>
      </c>
      <c r="N137" s="20">
        <f t="shared" si="34"/>
        <v>5877.133333333333</v>
      </c>
      <c r="O137" s="20">
        <f t="shared" si="34"/>
        <v>3.8456666666666672</v>
      </c>
      <c r="P137" s="20">
        <f t="shared" si="34"/>
        <v>3.0001449275362324</v>
      </c>
      <c r="Q137" s="20">
        <f t="shared" si="34"/>
        <v>5.485</v>
      </c>
      <c r="R137" s="20">
        <f t="shared" si="34"/>
        <v>4.690253623188406</v>
      </c>
      <c r="S137" s="20">
        <f>S128-58+S99+S69+S40</f>
        <v>209.74055555555557</v>
      </c>
      <c r="T137" s="20">
        <f>T128-35+T99+T69+T40</f>
        <v>188.0575</v>
      </c>
      <c r="U137" s="92" t="e">
        <f>#REF!+U128+U99+U69+U40</f>
        <v>#REF!</v>
      </c>
      <c r="V137" s="92" t="e">
        <f>#REF!+V128+V99+V69+V40</f>
        <v>#REF!</v>
      </c>
      <c r="W137" s="20" t="e">
        <f>#REF!+W128+W99+W69+W40</f>
        <v>#REF!</v>
      </c>
      <c r="X137" s="93" t="e">
        <f>#REF!+X128+X99+X69+X40</f>
        <v>#REF!</v>
      </c>
      <c r="Y137" s="89"/>
      <c r="Z137" s="94"/>
      <c r="AA137" s="94"/>
      <c r="AB137" s="94"/>
      <c r="AC137" s="66"/>
    </row>
    <row r="138" spans="1:29" s="67" customFormat="1" ht="15" customHeight="1">
      <c r="A138" s="1"/>
      <c r="B138" s="140" t="s">
        <v>52</v>
      </c>
      <c r="C138" s="140"/>
      <c r="D138" s="140"/>
      <c r="E138" s="20">
        <f>E137/4</f>
        <v>121.63750000000002</v>
      </c>
      <c r="F138" s="20">
        <f>F137/4</f>
        <v>107.465</v>
      </c>
      <c r="G138" s="20">
        <f aca="true" t="shared" si="35" ref="G138:S138">G137/4</f>
        <v>56.68361111111111</v>
      </c>
      <c r="H138" s="20">
        <f t="shared" si="35"/>
        <v>44.06825</v>
      </c>
      <c r="I138" s="20">
        <f t="shared" si="35"/>
        <v>59.80148148148149</v>
      </c>
      <c r="J138" s="20">
        <f t="shared" si="35"/>
        <v>49.206833333333336</v>
      </c>
      <c r="K138" s="20">
        <f t="shared" si="35"/>
        <v>248.35499999999996</v>
      </c>
      <c r="L138" s="20">
        <f t="shared" si="35"/>
        <v>198.18841666666668</v>
      </c>
      <c r="M138" s="20">
        <f t="shared" si="35"/>
        <v>1766.494814814815</v>
      </c>
      <c r="N138" s="20">
        <f t="shared" si="35"/>
        <v>1469.2833333333333</v>
      </c>
      <c r="O138" s="134">
        <f t="shared" si="35"/>
        <v>0.9614166666666668</v>
      </c>
      <c r="P138" s="134">
        <f t="shared" si="35"/>
        <v>0.7500362318840581</v>
      </c>
      <c r="Q138" s="134">
        <f t="shared" si="35"/>
        <v>1.37125</v>
      </c>
      <c r="R138" s="134">
        <f t="shared" si="35"/>
        <v>1.1725634057971015</v>
      </c>
      <c r="S138" s="20">
        <f t="shared" si="35"/>
        <v>52.43513888888889</v>
      </c>
      <c r="T138" s="20">
        <f>T137/4</f>
        <v>47.014375</v>
      </c>
      <c r="U138" s="20" t="e">
        <f>U137/5</f>
        <v>#REF!</v>
      </c>
      <c r="V138" s="20" t="e">
        <f>V137/5</f>
        <v>#REF!</v>
      </c>
      <c r="W138" s="39" t="e">
        <f>W137/5</f>
        <v>#REF!</v>
      </c>
      <c r="X138" s="61" t="e">
        <f>X137/5</f>
        <v>#REF!</v>
      </c>
      <c r="Y138" s="66"/>
      <c r="Z138" s="94"/>
      <c r="AA138" s="94"/>
      <c r="AB138" s="94"/>
      <c r="AC138" s="66"/>
    </row>
    <row r="139" spans="1:29" s="67" customFormat="1" ht="15" customHeight="1">
      <c r="A139" s="1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5"/>
      <c r="N139" s="46"/>
      <c r="X139" s="66"/>
      <c r="Y139" s="66"/>
      <c r="Z139" s="66"/>
      <c r="AA139" s="66"/>
      <c r="AB139" s="66"/>
      <c r="AC139" s="66"/>
    </row>
    <row r="140" spans="1:29" s="67" customFormat="1" ht="15" customHeight="1">
      <c r="A140" s="1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X140" s="66"/>
      <c r="Y140" s="66"/>
      <c r="Z140" s="66"/>
      <c r="AA140" s="66"/>
      <c r="AB140" s="66"/>
      <c r="AC140" s="66"/>
    </row>
    <row r="141" spans="1:29" s="67" customFormat="1" ht="15" customHeight="1">
      <c r="A141" s="1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X141" s="66"/>
      <c r="Y141" s="66"/>
      <c r="Z141" s="66"/>
      <c r="AA141" s="66"/>
      <c r="AB141" s="66"/>
      <c r="AC141" s="66"/>
    </row>
    <row r="142" spans="1:25" s="67" customFormat="1" ht="15" customHeight="1">
      <c r="A142" s="1"/>
      <c r="B142" s="47" t="s">
        <v>60</v>
      </c>
      <c r="C142" s="47"/>
      <c r="D142" s="47"/>
      <c r="E142" s="97"/>
      <c r="F142" s="97"/>
      <c r="G142" s="47"/>
      <c r="H142" s="47"/>
      <c r="I142" s="47"/>
      <c r="J142" s="47"/>
      <c r="K142" s="47"/>
      <c r="L142" s="47"/>
      <c r="X142" s="66"/>
      <c r="Y142" s="66"/>
    </row>
    <row r="143" spans="1:25" s="67" customFormat="1" ht="15" customHeight="1">
      <c r="A143" s="1"/>
      <c r="B143" s="47" t="s">
        <v>53</v>
      </c>
      <c r="C143" s="47"/>
      <c r="D143" s="47"/>
      <c r="E143" s="97"/>
      <c r="F143" s="97"/>
      <c r="G143" s="47"/>
      <c r="H143" s="47"/>
      <c r="I143" s="47"/>
      <c r="J143" s="47"/>
      <c r="K143" s="47"/>
      <c r="L143" s="47"/>
      <c r="X143" s="66"/>
      <c r="Y143" s="66"/>
    </row>
    <row r="144" spans="1:25" s="67" customFormat="1" ht="15" customHeight="1">
      <c r="A144" s="1"/>
      <c r="B144" s="47"/>
      <c r="C144" s="47"/>
      <c r="D144" s="47"/>
      <c r="E144" s="97"/>
      <c r="F144" s="97"/>
      <c r="G144" s="47"/>
      <c r="H144" s="47"/>
      <c r="I144" s="47"/>
      <c r="J144" s="47"/>
      <c r="K144" s="47"/>
      <c r="L144" s="47"/>
      <c r="X144" s="66"/>
      <c r="Y144" s="66"/>
    </row>
    <row r="145" spans="1:14" s="67" customFormat="1" ht="15" customHeight="1">
      <c r="A145" s="1"/>
      <c r="B145" s="53"/>
      <c r="C145" s="53"/>
      <c r="D145" s="53"/>
      <c r="E145" s="54"/>
      <c r="F145" s="55"/>
      <c r="G145" s="56"/>
      <c r="H145" s="56"/>
      <c r="I145" s="56"/>
      <c r="J145" s="56"/>
      <c r="K145" s="96"/>
      <c r="L145" s="96"/>
      <c r="M145" s="96"/>
      <c r="N145" s="96"/>
    </row>
    <row r="146" spans="1:14" s="67" customFormat="1" ht="15" customHeight="1">
      <c r="A146" s="1"/>
      <c r="B146" s="48" t="s">
        <v>55</v>
      </c>
      <c r="C146" s="49"/>
      <c r="D146" s="57"/>
      <c r="E146" s="100"/>
      <c r="F146" s="100"/>
      <c r="G146" s="57"/>
      <c r="H146" s="49"/>
      <c r="I146" s="49"/>
      <c r="J146" s="49" t="s">
        <v>56</v>
      </c>
      <c r="K146" s="49"/>
      <c r="L146" s="49"/>
      <c r="M146" s="46"/>
      <c r="N146" s="46"/>
    </row>
    <row r="147" spans="1:14" s="67" customFormat="1" ht="15" customHeight="1">
      <c r="A147" s="1"/>
      <c r="B147" s="48"/>
      <c r="C147" s="49"/>
      <c r="D147" s="57"/>
      <c r="E147" s="100"/>
      <c r="F147" s="100"/>
      <c r="G147" s="57"/>
      <c r="H147" s="49"/>
      <c r="I147" s="49"/>
      <c r="J147" s="49"/>
      <c r="K147" s="49"/>
      <c r="L147" s="49"/>
      <c r="M147" s="46"/>
      <c r="N147" s="46"/>
    </row>
    <row r="148" spans="1:14" s="67" customFormat="1" ht="15" customHeight="1">
      <c r="A148" s="1"/>
      <c r="B148" s="50" t="s">
        <v>57</v>
      </c>
      <c r="C148" s="50"/>
      <c r="D148" s="50"/>
      <c r="E148" s="99"/>
      <c r="F148" s="99"/>
      <c r="G148" s="50"/>
      <c r="H148" s="49"/>
      <c r="I148" s="50"/>
      <c r="J148" s="49" t="s">
        <v>58</v>
      </c>
      <c r="K148" s="49"/>
      <c r="L148" s="49"/>
      <c r="M148" s="46"/>
      <c r="N148" s="46"/>
    </row>
    <row r="149" spans="1:14" s="67" customFormat="1" ht="15" customHeight="1">
      <c r="A149" s="1"/>
      <c r="B149" s="48"/>
      <c r="C149" s="49"/>
      <c r="D149" s="49"/>
      <c r="E149" s="98"/>
      <c r="F149" s="98"/>
      <c r="G149" s="49"/>
      <c r="H149" s="49"/>
      <c r="I149" s="49"/>
      <c r="J149" s="49"/>
      <c r="K149" s="49"/>
      <c r="L149" s="49"/>
      <c r="M149" s="46"/>
      <c r="N149" s="46"/>
    </row>
    <row r="150" spans="1:14" s="67" customFormat="1" ht="15" customHeight="1">
      <c r="A150" s="1"/>
      <c r="B150" s="104" t="s">
        <v>81</v>
      </c>
      <c r="C150" s="48"/>
      <c r="D150" s="48"/>
      <c r="E150" s="49"/>
      <c r="F150" s="49"/>
      <c r="G150" s="48"/>
      <c r="H150" s="48"/>
      <c r="I150" s="48"/>
      <c r="J150" s="104" t="s">
        <v>122</v>
      </c>
      <c r="K150" s="48"/>
      <c r="L150" s="49"/>
      <c r="M150" s="95"/>
      <c r="N150" s="95"/>
    </row>
    <row r="151" spans="1:14" s="67" customFormat="1" ht="15" customHeight="1">
      <c r="A151" s="1"/>
      <c r="B151" s="48"/>
      <c r="C151" s="49"/>
      <c r="D151" s="49"/>
      <c r="E151" s="98"/>
      <c r="F151" s="98"/>
      <c r="G151" s="49"/>
      <c r="H151" s="49"/>
      <c r="I151" s="49"/>
      <c r="J151" s="49"/>
      <c r="K151" s="49"/>
      <c r="L151" s="49"/>
      <c r="M151" s="95"/>
      <c r="N151" s="95"/>
    </row>
    <row r="152" spans="1:14" s="67" customFormat="1" ht="15" customHeight="1">
      <c r="A152" s="1"/>
      <c r="B152" s="50" t="s">
        <v>117</v>
      </c>
      <c r="C152" s="99"/>
      <c r="D152" s="99"/>
      <c r="E152" s="99"/>
      <c r="F152" s="99"/>
      <c r="G152" s="50"/>
      <c r="H152" s="50"/>
      <c r="I152" s="50"/>
      <c r="J152" s="49" t="s">
        <v>118</v>
      </c>
      <c r="K152" s="49"/>
      <c r="L152" s="49"/>
      <c r="M152" s="95"/>
      <c r="N152" s="95"/>
    </row>
    <row r="153" spans="1:14" s="67" customFormat="1" ht="15" customHeight="1">
      <c r="A153" s="1"/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1:14" s="67" customFormat="1" ht="15" customHeight="1">
      <c r="A154" s="1"/>
      <c r="B154" s="51"/>
      <c r="C154" s="51"/>
      <c r="D154" s="51"/>
      <c r="E154" s="52"/>
      <c r="F154" s="52"/>
      <c r="G154" s="51"/>
      <c r="H154" s="51"/>
      <c r="I154" s="51"/>
      <c r="J154" s="51"/>
      <c r="K154" s="51"/>
      <c r="L154" s="51"/>
      <c r="M154" s="95"/>
      <c r="N154" s="95"/>
    </row>
    <row r="155" spans="1:14" s="67" customFormat="1" ht="15" customHeight="1">
      <c r="A155" s="1"/>
      <c r="B155" s="51"/>
      <c r="C155" s="51"/>
      <c r="D155" s="51"/>
      <c r="E155" s="52"/>
      <c r="F155" s="52"/>
      <c r="G155" s="51"/>
      <c r="H155" s="51"/>
      <c r="I155" s="51"/>
      <c r="J155" s="51"/>
      <c r="K155" s="51"/>
      <c r="L155" s="51"/>
      <c r="M155" s="95"/>
      <c r="N155" s="95"/>
    </row>
    <row r="156" spans="1:14" s="67" customFormat="1" ht="12.75">
      <c r="A156" s="1"/>
      <c r="B156" s="2"/>
      <c r="C156" s="2"/>
      <c r="D156" s="2"/>
      <c r="E156" s="3"/>
      <c r="F156" s="3"/>
      <c r="G156" s="2"/>
      <c r="H156" s="2"/>
      <c r="I156" s="2"/>
      <c r="J156" s="2"/>
      <c r="K156" s="2"/>
      <c r="L156" s="2"/>
      <c r="M156" s="2"/>
      <c r="N156" s="2"/>
    </row>
    <row r="157" spans="1:14" s="67" customFormat="1" ht="12.75">
      <c r="A157" s="1"/>
      <c r="B157" s="2"/>
      <c r="C157" s="2"/>
      <c r="D157" s="2"/>
      <c r="E157" s="3"/>
      <c r="F157" s="3"/>
      <c r="G157" s="2"/>
      <c r="H157" s="2"/>
      <c r="I157" s="2"/>
      <c r="J157" s="2"/>
      <c r="K157" s="2"/>
      <c r="L157" s="2"/>
      <c r="M157" s="2"/>
      <c r="N157" s="2"/>
    </row>
    <row r="158" spans="1:14" s="67" customFormat="1" ht="12.75">
      <c r="A158" s="1"/>
      <c r="B158" s="2"/>
      <c r="C158" s="2"/>
      <c r="D158" s="2"/>
      <c r="E158" s="3"/>
      <c r="F158" s="3"/>
      <c r="G158" s="2"/>
      <c r="H158" s="2"/>
      <c r="I158" s="2"/>
      <c r="J158" s="2"/>
      <c r="K158" s="2"/>
      <c r="L158" s="2"/>
      <c r="M158" s="2"/>
      <c r="N158" s="2"/>
    </row>
    <row r="159" spans="1:14" s="67" customFormat="1" ht="12.75">
      <c r="A159" s="1"/>
      <c r="B159" s="2"/>
      <c r="C159" s="2"/>
      <c r="D159" s="2"/>
      <c r="E159" s="3"/>
      <c r="F159" s="3"/>
      <c r="G159" s="2"/>
      <c r="H159" s="2"/>
      <c r="I159" s="2"/>
      <c r="J159" s="2"/>
      <c r="K159" s="2"/>
      <c r="L159" s="2"/>
      <c r="M159" s="2"/>
      <c r="N159" s="2"/>
    </row>
    <row r="160" spans="1:14" s="67" customFormat="1" ht="12.75">
      <c r="A160" s="1"/>
      <c r="B160" s="2"/>
      <c r="C160" s="2"/>
      <c r="D160" s="2"/>
      <c r="E160" s="3"/>
      <c r="F160" s="3"/>
      <c r="G160" s="2"/>
      <c r="H160" s="2"/>
      <c r="I160" s="2"/>
      <c r="J160" s="2"/>
      <c r="K160" s="2"/>
      <c r="L160" s="2"/>
      <c r="M160" s="2"/>
      <c r="N160" s="2"/>
    </row>
    <row r="161" spans="1:14" s="67" customFormat="1" ht="12.75">
      <c r="A161" s="1"/>
      <c r="B161" s="2"/>
      <c r="C161" s="2"/>
      <c r="D161" s="2"/>
      <c r="E161" s="3"/>
      <c r="F161" s="3"/>
      <c r="G161" s="2"/>
      <c r="H161" s="2"/>
      <c r="I161" s="2"/>
      <c r="J161" s="2"/>
      <c r="K161" s="2"/>
      <c r="L161" s="2"/>
      <c r="M161" s="2"/>
      <c r="N161" s="2"/>
    </row>
    <row r="162" spans="1:14" s="67" customFormat="1" ht="12.75">
      <c r="A162" s="1"/>
      <c r="B162" s="2"/>
      <c r="C162" s="2"/>
      <c r="D162" s="2"/>
      <c r="E162" s="3"/>
      <c r="F162" s="3"/>
      <c r="G162" s="2"/>
      <c r="H162" s="2"/>
      <c r="I162" s="2"/>
      <c r="J162" s="2"/>
      <c r="K162" s="2"/>
      <c r="L162" s="2"/>
      <c r="M162" s="2"/>
      <c r="N162" s="2"/>
    </row>
    <row r="163" spans="1:14" s="67" customFormat="1" ht="12.75">
      <c r="A163" s="1"/>
      <c r="B163" s="2"/>
      <c r="C163" s="2"/>
      <c r="D163" s="2"/>
      <c r="E163" s="3"/>
      <c r="F163" s="3"/>
      <c r="G163" s="2"/>
      <c r="H163" s="2"/>
      <c r="I163" s="2"/>
      <c r="J163" s="2"/>
      <c r="K163" s="2"/>
      <c r="L163" s="2"/>
      <c r="M163" s="2"/>
      <c r="N163" s="2"/>
    </row>
    <row r="164" spans="1:14" s="67" customFormat="1" ht="12.75">
      <c r="A164" s="1"/>
      <c r="B164" s="2"/>
      <c r="C164" s="2"/>
      <c r="D164" s="2"/>
      <c r="E164" s="3"/>
      <c r="F164" s="3"/>
      <c r="G164" s="2"/>
      <c r="H164" s="2"/>
      <c r="I164" s="2"/>
      <c r="J164" s="2"/>
      <c r="K164" s="2"/>
      <c r="L164" s="2"/>
      <c r="M164" s="2"/>
      <c r="N164" s="2"/>
    </row>
    <row r="165" spans="1:14" s="67" customFormat="1" ht="12.75">
      <c r="A165" s="1"/>
      <c r="B165" s="2"/>
      <c r="C165" s="2"/>
      <c r="D165" s="2"/>
      <c r="E165" s="3"/>
      <c r="F165" s="3"/>
      <c r="G165" s="2"/>
      <c r="H165" s="2"/>
      <c r="I165" s="2"/>
      <c r="J165" s="2"/>
      <c r="K165" s="2"/>
      <c r="L165" s="2"/>
      <c r="M165" s="2"/>
      <c r="N165" s="2"/>
    </row>
    <row r="166" spans="1:14" s="67" customFormat="1" ht="12.75">
      <c r="A166" s="1"/>
      <c r="B166" s="2"/>
      <c r="C166" s="2"/>
      <c r="D166" s="2"/>
      <c r="E166" s="3"/>
      <c r="F166" s="3"/>
      <c r="G166" s="2"/>
      <c r="H166" s="2"/>
      <c r="I166" s="2"/>
      <c r="J166" s="2"/>
      <c r="K166" s="2"/>
      <c r="L166" s="2"/>
      <c r="M166" s="2"/>
      <c r="N166" s="2"/>
    </row>
    <row r="167" spans="1:14" s="67" customFormat="1" ht="12.75">
      <c r="A167" s="1"/>
      <c r="B167" s="2"/>
      <c r="C167" s="2"/>
      <c r="D167" s="2"/>
      <c r="E167" s="3"/>
      <c r="F167" s="3"/>
      <c r="G167" s="2"/>
      <c r="H167" s="2"/>
      <c r="I167" s="2"/>
      <c r="J167" s="2"/>
      <c r="K167" s="2"/>
      <c r="L167" s="2"/>
      <c r="M167" s="2"/>
      <c r="N167" s="2"/>
    </row>
    <row r="168" spans="1:14" s="67" customFormat="1" ht="12.75">
      <c r="A168" s="1"/>
      <c r="B168" s="2"/>
      <c r="C168" s="2"/>
      <c r="D168" s="2"/>
      <c r="E168" s="3"/>
      <c r="F168" s="3"/>
      <c r="G168" s="2"/>
      <c r="H168" s="2"/>
      <c r="I168" s="2"/>
      <c r="J168" s="2"/>
      <c r="K168" s="2"/>
      <c r="L168" s="2"/>
      <c r="M168" s="2"/>
      <c r="N168" s="2"/>
    </row>
    <row r="169" spans="1:14" s="67" customFormat="1" ht="12.75">
      <c r="A169" s="1"/>
      <c r="B169" s="2"/>
      <c r="C169" s="2"/>
      <c r="D169" s="2"/>
      <c r="E169" s="3"/>
      <c r="F169" s="3"/>
      <c r="G169" s="2"/>
      <c r="H169" s="2"/>
      <c r="I169" s="2"/>
      <c r="J169" s="2"/>
      <c r="K169" s="2"/>
      <c r="L169" s="2"/>
      <c r="M169" s="2"/>
      <c r="N169" s="2"/>
    </row>
    <row r="170" spans="1:14" s="67" customFormat="1" ht="12.75">
      <c r="A170" s="1"/>
      <c r="B170" s="2"/>
      <c r="C170" s="2"/>
      <c r="D170" s="2"/>
      <c r="E170" s="3"/>
      <c r="F170" s="3"/>
      <c r="G170" s="2"/>
      <c r="H170" s="2"/>
      <c r="I170" s="2"/>
      <c r="J170" s="2"/>
      <c r="K170" s="2"/>
      <c r="L170" s="2"/>
      <c r="M170" s="2"/>
      <c r="N170" s="2"/>
    </row>
    <row r="171" spans="1:14" s="67" customFormat="1" ht="12.75">
      <c r="A171" s="1"/>
      <c r="B171" s="2"/>
      <c r="C171" s="2"/>
      <c r="D171" s="2"/>
      <c r="E171" s="3"/>
      <c r="F171" s="3"/>
      <c r="G171" s="2"/>
      <c r="H171" s="2"/>
      <c r="I171" s="2"/>
      <c r="J171" s="2"/>
      <c r="K171" s="2"/>
      <c r="L171" s="2"/>
      <c r="M171" s="2"/>
      <c r="N171" s="2"/>
    </row>
    <row r="172" spans="1:14" s="67" customFormat="1" ht="12.75">
      <c r="A172" s="1"/>
      <c r="B172" s="2"/>
      <c r="C172" s="2"/>
      <c r="D172" s="2"/>
      <c r="E172" s="3"/>
      <c r="F172" s="3"/>
      <c r="G172" s="2"/>
      <c r="H172" s="2"/>
      <c r="I172" s="2"/>
      <c r="J172" s="2"/>
      <c r="K172" s="2"/>
      <c r="L172" s="2"/>
      <c r="M172" s="2"/>
      <c r="N172" s="2"/>
    </row>
    <row r="173" spans="1:14" s="67" customFormat="1" ht="12.75">
      <c r="A173" s="1"/>
      <c r="B173" s="2"/>
      <c r="C173" s="2"/>
      <c r="D173" s="2"/>
      <c r="E173" s="3"/>
      <c r="F173" s="3"/>
      <c r="G173" s="2"/>
      <c r="H173" s="2"/>
      <c r="I173" s="2"/>
      <c r="J173" s="2"/>
      <c r="K173" s="2"/>
      <c r="L173" s="2"/>
      <c r="M173" s="2"/>
      <c r="N173" s="2"/>
    </row>
    <row r="174" spans="1:14" s="67" customFormat="1" ht="12.75">
      <c r="A174" s="1"/>
      <c r="B174" s="2"/>
      <c r="C174" s="2"/>
      <c r="D174" s="2"/>
      <c r="E174" s="3"/>
      <c r="F174" s="3"/>
      <c r="G174" s="2"/>
      <c r="H174" s="2"/>
      <c r="I174" s="2"/>
      <c r="J174" s="2"/>
      <c r="K174" s="2"/>
      <c r="L174" s="2"/>
      <c r="M174" s="2"/>
      <c r="N174" s="2"/>
    </row>
    <row r="175" spans="1:14" s="67" customFormat="1" ht="12.75">
      <c r="A175" s="1"/>
      <c r="B175" s="2"/>
      <c r="C175" s="2"/>
      <c r="D175" s="2"/>
      <c r="E175" s="3"/>
      <c r="F175" s="3"/>
      <c r="G175" s="2"/>
      <c r="H175" s="2"/>
      <c r="I175" s="2"/>
      <c r="J175" s="2"/>
      <c r="K175" s="2"/>
      <c r="L175" s="2"/>
      <c r="M175" s="2"/>
      <c r="N175" s="2"/>
    </row>
    <row r="176" spans="1:14" s="67" customFormat="1" ht="12.75">
      <c r="A176" s="1"/>
      <c r="B176" s="2"/>
      <c r="C176" s="2"/>
      <c r="D176" s="2"/>
      <c r="E176" s="3"/>
      <c r="F176" s="3"/>
      <c r="G176" s="2"/>
      <c r="H176" s="2"/>
      <c r="I176" s="2"/>
      <c r="J176" s="2"/>
      <c r="K176" s="2"/>
      <c r="L176" s="2"/>
      <c r="M176" s="2"/>
      <c r="N176" s="2"/>
    </row>
    <row r="177" spans="1:14" s="67" customFormat="1" ht="12.75">
      <c r="A177" s="1"/>
      <c r="B177" s="2"/>
      <c r="C177" s="2"/>
      <c r="D177" s="2"/>
      <c r="E177" s="3"/>
      <c r="F177" s="3"/>
      <c r="G177" s="2"/>
      <c r="H177" s="2"/>
      <c r="I177" s="2"/>
      <c r="J177" s="2"/>
      <c r="K177" s="2"/>
      <c r="L177" s="2"/>
      <c r="M177" s="2"/>
      <c r="N177" s="2"/>
    </row>
    <row r="178" spans="1:14" s="67" customFormat="1" ht="12.75">
      <c r="A178" s="1"/>
      <c r="B178" s="2"/>
      <c r="C178" s="2"/>
      <c r="D178" s="2"/>
      <c r="E178" s="3"/>
      <c r="F178" s="3"/>
      <c r="G178" s="2"/>
      <c r="H178" s="2"/>
      <c r="I178" s="2"/>
      <c r="J178" s="2"/>
      <c r="K178" s="2"/>
      <c r="L178" s="2"/>
      <c r="M178" s="2"/>
      <c r="N178" s="2"/>
    </row>
    <row r="179" spans="1:14" s="67" customFormat="1" ht="12.75">
      <c r="A179" s="1"/>
      <c r="B179" s="2"/>
      <c r="C179" s="2"/>
      <c r="D179" s="2"/>
      <c r="E179" s="3"/>
      <c r="F179" s="3"/>
      <c r="G179" s="2"/>
      <c r="H179" s="2"/>
      <c r="I179" s="2"/>
      <c r="J179" s="2"/>
      <c r="K179" s="2"/>
      <c r="L179" s="2"/>
      <c r="M179" s="2"/>
      <c r="N179" s="2"/>
    </row>
    <row r="180" spans="1:14" s="67" customFormat="1" ht="12.75">
      <c r="A180" s="1"/>
      <c r="B180" s="2"/>
      <c r="C180" s="2"/>
      <c r="D180" s="2"/>
      <c r="E180" s="3"/>
      <c r="F180" s="3"/>
      <c r="G180" s="2"/>
      <c r="H180" s="2"/>
      <c r="I180" s="2"/>
      <c r="J180" s="2"/>
      <c r="K180" s="2"/>
      <c r="L180" s="2"/>
      <c r="M180" s="2"/>
      <c r="N180" s="2"/>
    </row>
    <row r="181" spans="1:14" s="67" customFormat="1" ht="12.75">
      <c r="A181" s="1"/>
      <c r="B181" s="2"/>
      <c r="C181" s="2"/>
      <c r="D181" s="2"/>
      <c r="E181" s="3"/>
      <c r="F181" s="3"/>
      <c r="G181" s="2"/>
      <c r="H181" s="2"/>
      <c r="I181" s="2"/>
      <c r="J181" s="2"/>
      <c r="K181" s="2"/>
      <c r="L181" s="2"/>
      <c r="M181" s="2"/>
      <c r="N181" s="2"/>
    </row>
    <row r="182" spans="1:14" s="67" customFormat="1" ht="12.75">
      <c r="A182" s="1"/>
      <c r="B182" s="2"/>
      <c r="C182" s="2"/>
      <c r="D182" s="2"/>
      <c r="E182" s="3"/>
      <c r="F182" s="3"/>
      <c r="G182" s="2"/>
      <c r="H182" s="2"/>
      <c r="I182" s="2"/>
      <c r="J182" s="2"/>
      <c r="K182" s="2"/>
      <c r="L182" s="2"/>
      <c r="M182" s="2"/>
      <c r="N182" s="2"/>
    </row>
    <row r="183" spans="1:14" s="67" customFormat="1" ht="12.75">
      <c r="A183" s="1"/>
      <c r="B183" s="2"/>
      <c r="C183" s="2"/>
      <c r="D183" s="2"/>
      <c r="E183" s="3"/>
      <c r="F183" s="3"/>
      <c r="G183" s="2"/>
      <c r="H183" s="2"/>
      <c r="I183" s="2"/>
      <c r="J183" s="2"/>
      <c r="K183" s="2"/>
      <c r="L183" s="2"/>
      <c r="M183" s="2"/>
      <c r="N183" s="2"/>
    </row>
    <row r="184" spans="1:14" s="67" customFormat="1" ht="12.75">
      <c r="A184" s="1"/>
      <c r="B184" s="2"/>
      <c r="C184" s="2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</row>
    <row r="185" spans="1:14" s="67" customFormat="1" ht="12.75">
      <c r="A185" s="1"/>
      <c r="B185" s="2"/>
      <c r="C185" s="2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</row>
    <row r="186" spans="1:14" s="67" customFormat="1" ht="12.75">
      <c r="A186" s="1"/>
      <c r="B186" s="2"/>
      <c r="C186" s="2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</row>
    <row r="187" spans="1:14" s="67" customFormat="1" ht="12.75">
      <c r="A187" s="1"/>
      <c r="B187" s="2"/>
      <c r="C187" s="2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</row>
    <row r="188" spans="1:14" s="67" customFormat="1" ht="12.75">
      <c r="A188" s="1"/>
      <c r="B188" s="2"/>
      <c r="C188" s="2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</row>
    <row r="189" spans="1:14" s="67" customFormat="1" ht="12.75">
      <c r="A189" s="1"/>
      <c r="B189" s="2"/>
      <c r="C189" s="2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</row>
    <row r="190" spans="1:14" s="67" customFormat="1" ht="12.75">
      <c r="A190" s="1"/>
      <c r="B190" s="2"/>
      <c r="C190" s="2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</row>
    <row r="191" spans="1:14" s="67" customFormat="1" ht="12.75">
      <c r="A191" s="1"/>
      <c r="B191" s="2"/>
      <c r="C191" s="2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</row>
    <row r="192" spans="1:14" s="67" customFormat="1" ht="12.75">
      <c r="A192" s="1"/>
      <c r="B192" s="2"/>
      <c r="C192" s="2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</row>
    <row r="193" spans="1:14" s="67" customFormat="1" ht="12.75">
      <c r="A193" s="1"/>
      <c r="B193" s="2"/>
      <c r="C193" s="2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</row>
    <row r="194" spans="1:14" s="67" customFormat="1" ht="12.75">
      <c r="A194" s="1"/>
      <c r="B194" s="2"/>
      <c r="C194" s="2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</row>
    <row r="195" spans="1:14" s="67" customFormat="1" ht="12.75">
      <c r="A195" s="1"/>
      <c r="B195" s="2"/>
      <c r="C195" s="2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</row>
    <row r="196" spans="1:14" s="67" customFormat="1" ht="12.75">
      <c r="A196" s="1"/>
      <c r="B196" s="2"/>
      <c r="C196" s="2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</row>
    <row r="197" spans="1:14" s="67" customFormat="1" ht="12.75">
      <c r="A197" s="1"/>
      <c r="B197" s="2"/>
      <c r="C197" s="2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</row>
    <row r="198" spans="1:14" s="67" customFormat="1" ht="12.75">
      <c r="A198" s="1"/>
      <c r="B198" s="2"/>
      <c r="C198" s="2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</row>
    <row r="199" spans="1:14" s="67" customFormat="1" ht="12.75">
      <c r="A199" s="1"/>
      <c r="B199" s="2"/>
      <c r="C199" s="2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</row>
    <row r="200" spans="1:14" s="67" customFormat="1" ht="12.75">
      <c r="A200" s="1"/>
      <c r="B200" s="2"/>
      <c r="C200" s="2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</row>
    <row r="201" spans="1:14" s="67" customFormat="1" ht="12.75">
      <c r="A201" s="1"/>
      <c r="B201" s="2"/>
      <c r="C201" s="2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</row>
    <row r="202" spans="1:14" s="67" customFormat="1" ht="12.75">
      <c r="A202" s="1"/>
      <c r="B202" s="2"/>
      <c r="C202" s="2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</row>
    <row r="203" spans="1:14" s="67" customFormat="1" ht="12.75">
      <c r="A203" s="1"/>
      <c r="B203" s="2"/>
      <c r="C203" s="2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</row>
    <row r="204" spans="1:14" s="67" customFormat="1" ht="12.75">
      <c r="A204" s="1"/>
      <c r="B204" s="2"/>
      <c r="C204" s="2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</row>
    <row r="205" spans="1:14" s="67" customFormat="1" ht="12.75">
      <c r="A205" s="1"/>
      <c r="B205" s="2"/>
      <c r="C205" s="2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</row>
    <row r="206" spans="1:14" s="67" customFormat="1" ht="12.75">
      <c r="A206" s="1"/>
      <c r="B206" s="2"/>
      <c r="C206" s="2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</row>
    <row r="207" spans="1:14" s="67" customFormat="1" ht="12.75">
      <c r="A207" s="1"/>
      <c r="B207" s="2"/>
      <c r="C207" s="2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</row>
    <row r="208" spans="1:14" s="67" customFormat="1" ht="12.75">
      <c r="A208" s="1"/>
      <c r="B208" s="2"/>
      <c r="C208" s="2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</row>
    <row r="209" spans="1:14" s="67" customFormat="1" ht="12.75">
      <c r="A209" s="1"/>
      <c r="B209" s="2"/>
      <c r="C209" s="2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</row>
    <row r="210" spans="1:14" s="67" customFormat="1" ht="12.75">
      <c r="A210" s="1"/>
      <c r="B210" s="2"/>
      <c r="C210" s="2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</row>
    <row r="211" spans="1:14" s="67" customFormat="1" ht="12.75">
      <c r="A211" s="1"/>
      <c r="B211" s="2"/>
      <c r="C211" s="2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</row>
    <row r="212" spans="1:14" s="67" customFormat="1" ht="12.75">
      <c r="A212" s="1"/>
      <c r="B212" s="2"/>
      <c r="C212" s="2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</row>
    <row r="213" spans="1:14" s="67" customFormat="1" ht="12.75">
      <c r="A213" s="1"/>
      <c r="B213" s="2"/>
      <c r="C213" s="2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</row>
    <row r="214" spans="1:14" s="67" customFormat="1" ht="12.75">
      <c r="A214" s="1"/>
      <c r="B214" s="2"/>
      <c r="C214" s="2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</row>
    <row r="215" spans="1:14" s="67" customFormat="1" ht="12.75">
      <c r="A215" s="1"/>
      <c r="B215" s="2"/>
      <c r="C215" s="2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</row>
    <row r="216" spans="1:14" s="67" customFormat="1" ht="12.75">
      <c r="A216" s="1"/>
      <c r="B216" s="2"/>
      <c r="C216" s="2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</row>
    <row r="217" spans="1:14" s="67" customFormat="1" ht="12.75">
      <c r="A217" s="1"/>
      <c r="B217" s="2"/>
      <c r="C217" s="2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</row>
    <row r="218" spans="1:14" s="67" customFormat="1" ht="12.75">
      <c r="A218" s="1"/>
      <c r="B218" s="2"/>
      <c r="C218" s="2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</row>
    <row r="219" spans="1:14" s="67" customFormat="1" ht="12.75">
      <c r="A219" s="1"/>
      <c r="B219" s="2"/>
      <c r="C219" s="2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</row>
    <row r="220" spans="1:14" s="67" customFormat="1" ht="12.75">
      <c r="A220" s="1"/>
      <c r="B220" s="2"/>
      <c r="C220" s="2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</row>
    <row r="221" spans="1:14" s="67" customFormat="1" ht="12.75">
      <c r="A221" s="1"/>
      <c r="B221" s="2"/>
      <c r="C221" s="2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</row>
    <row r="222" spans="1:14" s="67" customFormat="1" ht="12.75">
      <c r="A222" s="1"/>
      <c r="B222" s="2"/>
      <c r="C222" s="2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</row>
    <row r="223" spans="1:14" s="67" customFormat="1" ht="12.75">
      <c r="A223" s="1"/>
      <c r="B223" s="2"/>
      <c r="C223" s="2"/>
      <c r="D223" s="2"/>
      <c r="E223" s="3"/>
      <c r="F223" s="3"/>
      <c r="G223" s="2"/>
      <c r="H223" s="2"/>
      <c r="I223" s="2"/>
      <c r="J223" s="2"/>
      <c r="K223" s="2"/>
      <c r="L223" s="2"/>
      <c r="M223" s="2"/>
      <c r="N223" s="2"/>
    </row>
    <row r="224" spans="1:14" s="67" customFormat="1" ht="12.75">
      <c r="A224" s="1"/>
      <c r="B224" s="2"/>
      <c r="C224" s="2"/>
      <c r="D224" s="2"/>
      <c r="E224" s="3"/>
      <c r="F224" s="3"/>
      <c r="G224" s="2"/>
      <c r="H224" s="2"/>
      <c r="I224" s="2"/>
      <c r="J224" s="2"/>
      <c r="K224" s="2"/>
      <c r="L224" s="2"/>
      <c r="M224" s="2"/>
      <c r="N224" s="2"/>
    </row>
    <row r="225" spans="1:14" s="67" customFormat="1" ht="12.75">
      <c r="A225" s="1"/>
      <c r="B225" s="2"/>
      <c r="C225" s="2"/>
      <c r="D225" s="2"/>
      <c r="E225" s="3"/>
      <c r="F225" s="3"/>
      <c r="G225" s="2"/>
      <c r="H225" s="2"/>
      <c r="I225" s="2"/>
      <c r="J225" s="2"/>
      <c r="K225" s="2"/>
      <c r="L225" s="2"/>
      <c r="M225" s="2"/>
      <c r="N225" s="2"/>
    </row>
    <row r="226" spans="1:14" s="67" customFormat="1" ht="12.75">
      <c r="A226" s="1"/>
      <c r="B226" s="2"/>
      <c r="C226" s="2"/>
      <c r="D226" s="2"/>
      <c r="E226" s="3"/>
      <c r="F226" s="3"/>
      <c r="G226" s="2"/>
      <c r="H226" s="2"/>
      <c r="I226" s="2"/>
      <c r="J226" s="2"/>
      <c r="K226" s="2"/>
      <c r="L226" s="2"/>
      <c r="M226" s="2"/>
      <c r="N226" s="2"/>
    </row>
    <row r="227" spans="1:14" s="67" customFormat="1" ht="12.75">
      <c r="A227" s="1"/>
      <c r="B227" s="2"/>
      <c r="C227" s="2"/>
      <c r="D227" s="2"/>
      <c r="E227" s="3"/>
      <c r="F227" s="3"/>
      <c r="G227" s="2"/>
      <c r="H227" s="2"/>
      <c r="I227" s="2"/>
      <c r="J227" s="2"/>
      <c r="K227" s="2"/>
      <c r="L227" s="2"/>
      <c r="M227" s="2"/>
      <c r="N227" s="2"/>
    </row>
    <row r="228" spans="1:14" s="67" customFormat="1" ht="12.75">
      <c r="A228" s="1"/>
      <c r="B228" s="2"/>
      <c r="C228" s="2"/>
      <c r="D228" s="2"/>
      <c r="E228" s="3"/>
      <c r="F228" s="3"/>
      <c r="G228" s="2"/>
      <c r="H228" s="2"/>
      <c r="I228" s="2"/>
      <c r="J228" s="2"/>
      <c r="K228" s="2"/>
      <c r="L228" s="2"/>
      <c r="M228" s="2"/>
      <c r="N228" s="2"/>
    </row>
    <row r="229" spans="1:14" s="67" customFormat="1" ht="12.75">
      <c r="A229" s="1"/>
      <c r="B229" s="2"/>
      <c r="C229" s="2"/>
      <c r="D229" s="2"/>
      <c r="E229" s="3"/>
      <c r="F229" s="3"/>
      <c r="G229" s="2"/>
      <c r="H229" s="2"/>
      <c r="I229" s="2"/>
      <c r="J229" s="2"/>
      <c r="K229" s="2"/>
      <c r="L229" s="2"/>
      <c r="M229" s="2"/>
      <c r="N229" s="2"/>
    </row>
    <row r="230" spans="1:14" s="67" customFormat="1" ht="12.75">
      <c r="A230" s="1"/>
      <c r="B230" s="2"/>
      <c r="C230" s="2"/>
      <c r="D230" s="2"/>
      <c r="E230" s="3"/>
      <c r="F230" s="3"/>
      <c r="G230" s="2"/>
      <c r="H230" s="2"/>
      <c r="I230" s="2"/>
      <c r="J230" s="2"/>
      <c r="K230" s="2"/>
      <c r="L230" s="2"/>
      <c r="M230" s="2"/>
      <c r="N230" s="2"/>
    </row>
    <row r="231" spans="1:14" s="67" customFormat="1" ht="12.75">
      <c r="A231" s="1"/>
      <c r="B231" s="2"/>
      <c r="C231" s="2"/>
      <c r="D231" s="2"/>
      <c r="E231" s="3"/>
      <c r="F231" s="3"/>
      <c r="G231" s="2"/>
      <c r="H231" s="2"/>
      <c r="I231" s="2"/>
      <c r="J231" s="2"/>
      <c r="K231" s="2"/>
      <c r="L231" s="2"/>
      <c r="M231" s="2"/>
      <c r="N231" s="2"/>
    </row>
    <row r="232" spans="1:14" s="67" customFormat="1" ht="12.75">
      <c r="A232" s="1"/>
      <c r="B232" s="2"/>
      <c r="C232" s="2"/>
      <c r="D232" s="2"/>
      <c r="E232" s="3"/>
      <c r="F232" s="3"/>
      <c r="G232" s="2"/>
      <c r="H232" s="2"/>
      <c r="I232" s="2"/>
      <c r="J232" s="2"/>
      <c r="K232" s="2"/>
      <c r="L232" s="2"/>
      <c r="M232" s="2"/>
      <c r="N232" s="2"/>
    </row>
    <row r="233" spans="1:14" s="67" customFormat="1" ht="12.75">
      <c r="A233" s="1"/>
      <c r="B233" s="2"/>
      <c r="C233" s="2"/>
      <c r="D233" s="2"/>
      <c r="E233" s="3"/>
      <c r="F233" s="3"/>
      <c r="G233" s="2"/>
      <c r="H233" s="2"/>
      <c r="I233" s="2"/>
      <c r="J233" s="2"/>
      <c r="K233" s="2"/>
      <c r="L233" s="2"/>
      <c r="M233" s="2"/>
      <c r="N233" s="2"/>
    </row>
    <row r="234" spans="1:14" s="67" customFormat="1" ht="12.75">
      <c r="A234" s="1"/>
      <c r="B234" s="2"/>
      <c r="C234" s="2"/>
      <c r="D234" s="2"/>
      <c r="E234" s="3"/>
      <c r="F234" s="3"/>
      <c r="G234" s="2"/>
      <c r="H234" s="2"/>
      <c r="I234" s="2"/>
      <c r="J234" s="2"/>
      <c r="K234" s="2"/>
      <c r="L234" s="2"/>
      <c r="M234" s="2"/>
      <c r="N234" s="2"/>
    </row>
    <row r="235" spans="1:14" s="67" customFormat="1" ht="12.75">
      <c r="A235" s="1"/>
      <c r="B235" s="2"/>
      <c r="C235" s="2"/>
      <c r="D235" s="2"/>
      <c r="E235" s="3"/>
      <c r="F235" s="3"/>
      <c r="G235" s="2"/>
      <c r="H235" s="2"/>
      <c r="I235" s="2"/>
      <c r="J235" s="2"/>
      <c r="K235" s="2"/>
      <c r="L235" s="2"/>
      <c r="M235" s="2"/>
      <c r="N235" s="2"/>
    </row>
    <row r="236" spans="1:14" s="67" customFormat="1" ht="12.75">
      <c r="A236" s="1"/>
      <c r="B236" s="2"/>
      <c r="C236" s="2"/>
      <c r="D236" s="2"/>
      <c r="E236" s="3"/>
      <c r="F236" s="3"/>
      <c r="G236" s="2"/>
      <c r="H236" s="2"/>
      <c r="I236" s="2"/>
      <c r="J236" s="2"/>
      <c r="K236" s="2"/>
      <c r="L236" s="2"/>
      <c r="M236" s="2"/>
      <c r="N236" s="2"/>
    </row>
    <row r="237" spans="1:14" s="67" customFormat="1" ht="12.75">
      <c r="A237" s="1"/>
      <c r="B237" s="2"/>
      <c r="C237" s="2"/>
      <c r="D237" s="2"/>
      <c r="E237" s="3"/>
      <c r="F237" s="3"/>
      <c r="G237" s="2"/>
      <c r="H237" s="2"/>
      <c r="I237" s="2"/>
      <c r="J237" s="2"/>
      <c r="K237" s="2"/>
      <c r="L237" s="2"/>
      <c r="M237" s="2"/>
      <c r="N237" s="2"/>
    </row>
    <row r="238" spans="1:14" s="67" customFormat="1" ht="12.75">
      <c r="A238" s="1"/>
      <c r="B238" s="2"/>
      <c r="C238" s="2"/>
      <c r="D238" s="2"/>
      <c r="E238" s="3"/>
      <c r="F238" s="3"/>
      <c r="G238" s="2"/>
      <c r="H238" s="2"/>
      <c r="I238" s="2"/>
      <c r="J238" s="2"/>
      <c r="K238" s="2"/>
      <c r="L238" s="2"/>
      <c r="M238" s="2"/>
      <c r="N238" s="2"/>
    </row>
    <row r="239" spans="1:14" s="67" customFormat="1" ht="12.75">
      <c r="A239" s="1"/>
      <c r="B239" s="2"/>
      <c r="C239" s="2"/>
      <c r="D239" s="2"/>
      <c r="E239" s="3"/>
      <c r="F239" s="3"/>
      <c r="G239" s="2"/>
      <c r="H239" s="2"/>
      <c r="I239" s="2"/>
      <c r="J239" s="2"/>
      <c r="K239" s="2"/>
      <c r="L239" s="2"/>
      <c r="M239" s="2"/>
      <c r="N239" s="2"/>
    </row>
    <row r="240" spans="1:14" s="67" customFormat="1" ht="12.75">
      <c r="A240" s="1"/>
      <c r="B240" s="2"/>
      <c r="C240" s="2"/>
      <c r="D240" s="2"/>
      <c r="E240" s="3"/>
      <c r="F240" s="3"/>
      <c r="G240" s="2"/>
      <c r="H240" s="2"/>
      <c r="I240" s="2"/>
      <c r="J240" s="2"/>
      <c r="K240" s="2"/>
      <c r="L240" s="2"/>
      <c r="M240" s="2"/>
      <c r="N240" s="2"/>
    </row>
    <row r="241" spans="1:14" s="67" customFormat="1" ht="12.75">
      <c r="A241" s="1"/>
      <c r="B241" s="2"/>
      <c r="C241" s="2"/>
      <c r="D241" s="2"/>
      <c r="E241" s="3"/>
      <c r="F241" s="3"/>
      <c r="G241" s="2"/>
      <c r="H241" s="2"/>
      <c r="I241" s="2"/>
      <c r="J241" s="2"/>
      <c r="K241" s="2"/>
      <c r="L241" s="2"/>
      <c r="M241" s="2"/>
      <c r="N241" s="2"/>
    </row>
    <row r="242" spans="1:14" s="67" customFormat="1" ht="12.75">
      <c r="A242" s="1"/>
      <c r="B242" s="2"/>
      <c r="C242" s="2"/>
      <c r="D242" s="2"/>
      <c r="E242" s="3"/>
      <c r="F242" s="3"/>
      <c r="G242" s="2"/>
      <c r="H242" s="2"/>
      <c r="I242" s="2"/>
      <c r="J242" s="2"/>
      <c r="K242" s="2"/>
      <c r="L242" s="2"/>
      <c r="M242" s="2"/>
      <c r="N242" s="2"/>
    </row>
    <row r="243" spans="1:14" s="67" customFormat="1" ht="12.75">
      <c r="A243" s="1"/>
      <c r="B243" s="2"/>
      <c r="C243" s="2"/>
      <c r="D243" s="2"/>
      <c r="E243" s="3"/>
      <c r="F243" s="3"/>
      <c r="G243" s="2"/>
      <c r="H243" s="2"/>
      <c r="I243" s="2"/>
      <c r="J243" s="2"/>
      <c r="K243" s="2"/>
      <c r="L243" s="2"/>
      <c r="M243" s="2"/>
      <c r="N243" s="2"/>
    </row>
    <row r="244" spans="1:14" s="67" customFormat="1" ht="12.75">
      <c r="A244" s="1"/>
      <c r="B244" s="2"/>
      <c r="C244" s="2"/>
      <c r="D244" s="2"/>
      <c r="E244" s="3"/>
      <c r="F244" s="3"/>
      <c r="G244" s="2"/>
      <c r="H244" s="2"/>
      <c r="I244" s="2"/>
      <c r="J244" s="2"/>
      <c r="K244" s="2"/>
      <c r="L244" s="2"/>
      <c r="M244" s="2"/>
      <c r="N244" s="2"/>
    </row>
    <row r="245" spans="1:14" s="67" customFormat="1" ht="12.75">
      <c r="A245" s="1"/>
      <c r="B245" s="2"/>
      <c r="C245" s="2"/>
      <c r="D245" s="2"/>
      <c r="E245" s="3"/>
      <c r="F245" s="3"/>
      <c r="G245" s="2"/>
      <c r="H245" s="2"/>
      <c r="I245" s="2"/>
      <c r="J245" s="2"/>
      <c r="K245" s="2"/>
      <c r="L245" s="2"/>
      <c r="M245" s="2"/>
      <c r="N245" s="2"/>
    </row>
    <row r="246" spans="1:14" s="67" customFormat="1" ht="12.75">
      <c r="A246" s="1"/>
      <c r="B246" s="2"/>
      <c r="C246" s="2"/>
      <c r="D246" s="2"/>
      <c r="E246" s="3"/>
      <c r="F246" s="3"/>
      <c r="G246" s="2"/>
      <c r="H246" s="2"/>
      <c r="I246" s="2"/>
      <c r="J246" s="2"/>
      <c r="K246" s="2"/>
      <c r="L246" s="2"/>
      <c r="M246" s="2"/>
      <c r="N246" s="2"/>
    </row>
    <row r="247" spans="1:14" s="67" customFormat="1" ht="12.75">
      <c r="A247" s="1"/>
      <c r="B247" s="2"/>
      <c r="C247" s="2"/>
      <c r="D247" s="2"/>
      <c r="E247" s="3"/>
      <c r="F247" s="3"/>
      <c r="G247" s="2"/>
      <c r="H247" s="2"/>
      <c r="I247" s="2"/>
      <c r="J247" s="2"/>
      <c r="K247" s="2"/>
      <c r="L247" s="2"/>
      <c r="M247" s="2"/>
      <c r="N247" s="2"/>
    </row>
    <row r="248" spans="1:14" s="67" customFormat="1" ht="12.75">
      <c r="A248" s="1"/>
      <c r="B248" s="2"/>
      <c r="C248" s="2"/>
      <c r="D248" s="2"/>
      <c r="E248" s="3"/>
      <c r="F248" s="3"/>
      <c r="G248" s="2"/>
      <c r="H248" s="2"/>
      <c r="I248" s="2"/>
      <c r="J248" s="2"/>
      <c r="K248" s="2"/>
      <c r="L248" s="2"/>
      <c r="M248" s="2"/>
      <c r="N248" s="2"/>
    </row>
    <row r="249" spans="1:14" s="67" customFormat="1" ht="12.75">
      <c r="A249" s="1"/>
      <c r="B249" s="2"/>
      <c r="C249" s="2"/>
      <c r="D249" s="2"/>
      <c r="E249" s="3"/>
      <c r="F249" s="3"/>
      <c r="G249" s="2"/>
      <c r="H249" s="2"/>
      <c r="I249" s="2"/>
      <c r="J249" s="2"/>
      <c r="K249" s="2"/>
      <c r="L249" s="2"/>
      <c r="M249" s="2"/>
      <c r="N249" s="2"/>
    </row>
    <row r="250" spans="1:14" s="67" customFormat="1" ht="12.75">
      <c r="A250" s="1"/>
      <c r="B250" s="2"/>
      <c r="C250" s="2"/>
      <c r="D250" s="2"/>
      <c r="E250" s="3"/>
      <c r="F250" s="3"/>
      <c r="G250" s="2"/>
      <c r="H250" s="2"/>
      <c r="I250" s="2"/>
      <c r="J250" s="2"/>
      <c r="K250" s="2"/>
      <c r="L250" s="2"/>
      <c r="M250" s="2"/>
      <c r="N250" s="2"/>
    </row>
    <row r="251" spans="1:14" s="67" customFormat="1" ht="12.75">
      <c r="A251" s="1"/>
      <c r="B251" s="2"/>
      <c r="C251" s="2"/>
      <c r="D251" s="2"/>
      <c r="E251" s="3"/>
      <c r="F251" s="3"/>
      <c r="G251" s="2"/>
      <c r="H251" s="2"/>
      <c r="I251" s="2"/>
      <c r="J251" s="2"/>
      <c r="K251" s="2"/>
      <c r="L251" s="2"/>
      <c r="M251" s="2"/>
      <c r="N251" s="2"/>
    </row>
    <row r="252" spans="1:14" s="67" customFormat="1" ht="12.75">
      <c r="A252" s="1"/>
      <c r="B252" s="2"/>
      <c r="C252" s="2"/>
      <c r="D252" s="2"/>
      <c r="E252" s="3"/>
      <c r="F252" s="3"/>
      <c r="G252" s="2"/>
      <c r="H252" s="2"/>
      <c r="I252" s="2"/>
      <c r="J252" s="2"/>
      <c r="K252" s="2"/>
      <c r="L252" s="2"/>
      <c r="M252" s="2"/>
      <c r="N252" s="2"/>
    </row>
    <row r="253" spans="1:14" s="67" customFormat="1" ht="12.75">
      <c r="A253" s="1"/>
      <c r="B253" s="2"/>
      <c r="C253" s="2"/>
      <c r="D253" s="2"/>
      <c r="E253" s="3"/>
      <c r="F253" s="3"/>
      <c r="G253" s="2"/>
      <c r="H253" s="2"/>
      <c r="I253" s="2"/>
      <c r="J253" s="2"/>
      <c r="K253" s="2"/>
      <c r="L253" s="2"/>
      <c r="M253" s="2"/>
      <c r="N253" s="2"/>
    </row>
    <row r="254" spans="1:14" s="67" customFormat="1" ht="12.75">
      <c r="A254" s="1"/>
      <c r="B254" s="2"/>
      <c r="C254" s="2"/>
      <c r="D254" s="2"/>
      <c r="E254" s="3"/>
      <c r="F254" s="3"/>
      <c r="G254" s="2"/>
      <c r="H254" s="2"/>
      <c r="I254" s="2"/>
      <c r="J254" s="2"/>
      <c r="K254" s="2"/>
      <c r="L254" s="2"/>
      <c r="M254" s="2"/>
      <c r="N254" s="2"/>
    </row>
    <row r="255" spans="1:14" s="67" customFormat="1" ht="12.75">
      <c r="A255" s="1"/>
      <c r="B255" s="2"/>
      <c r="C255" s="2"/>
      <c r="D255" s="2"/>
      <c r="E255" s="3"/>
      <c r="F255" s="3"/>
      <c r="G255" s="2"/>
      <c r="H255" s="2"/>
      <c r="I255" s="2"/>
      <c r="J255" s="2"/>
      <c r="K255" s="2"/>
      <c r="L255" s="2"/>
      <c r="M255" s="2"/>
      <c r="N255" s="2"/>
    </row>
    <row r="256" spans="1:14" s="67" customFormat="1" ht="12.75">
      <c r="A256" s="1"/>
      <c r="B256" s="2"/>
      <c r="C256" s="2"/>
      <c r="D256" s="2"/>
      <c r="E256" s="3"/>
      <c r="F256" s="3"/>
      <c r="G256" s="2"/>
      <c r="H256" s="2"/>
      <c r="I256" s="2"/>
      <c r="J256" s="2"/>
      <c r="K256" s="2"/>
      <c r="L256" s="2"/>
      <c r="M256" s="2"/>
      <c r="N256" s="2"/>
    </row>
    <row r="257" spans="1:14" s="67" customFormat="1" ht="12.75">
      <c r="A257" s="1"/>
      <c r="B257" s="2"/>
      <c r="C257" s="2"/>
      <c r="D257" s="2"/>
      <c r="E257" s="3"/>
      <c r="F257" s="3"/>
      <c r="G257" s="2"/>
      <c r="H257" s="2"/>
      <c r="I257" s="2"/>
      <c r="J257" s="2"/>
      <c r="K257" s="2"/>
      <c r="L257" s="2"/>
      <c r="M257" s="2"/>
      <c r="N257" s="2"/>
    </row>
    <row r="258" spans="1:14" s="67" customFormat="1" ht="12.75">
      <c r="A258" s="1"/>
      <c r="B258" s="2"/>
      <c r="C258" s="2"/>
      <c r="D258" s="2"/>
      <c r="E258" s="3"/>
      <c r="F258" s="3"/>
      <c r="G258" s="2"/>
      <c r="H258" s="2"/>
      <c r="I258" s="2"/>
      <c r="J258" s="2"/>
      <c r="K258" s="2"/>
      <c r="L258" s="2"/>
      <c r="M258" s="2"/>
      <c r="N258" s="2"/>
    </row>
    <row r="259" spans="1:14" s="67" customFormat="1" ht="12.75">
      <c r="A259" s="1"/>
      <c r="B259" s="2"/>
      <c r="C259" s="2"/>
      <c r="D259" s="2"/>
      <c r="E259" s="3"/>
      <c r="F259" s="3"/>
      <c r="G259" s="2"/>
      <c r="H259" s="2"/>
      <c r="I259" s="2"/>
      <c r="J259" s="2"/>
      <c r="K259" s="2"/>
      <c r="L259" s="2"/>
      <c r="M259" s="2"/>
      <c r="N259" s="2"/>
    </row>
  </sheetData>
  <sheetProtection/>
  <mergeCells count="34">
    <mergeCell ref="M4:N4"/>
    <mergeCell ref="U10:X10"/>
    <mergeCell ref="G11:H11"/>
    <mergeCell ref="S11:T11"/>
    <mergeCell ref="U11:V11"/>
    <mergeCell ref="O11:P11"/>
    <mergeCell ref="Q11:R11"/>
    <mergeCell ref="W11:X11"/>
    <mergeCell ref="A8:X8"/>
    <mergeCell ref="A10:A11"/>
    <mergeCell ref="M10:N11"/>
    <mergeCell ref="O10:T10"/>
    <mergeCell ref="I11:J11"/>
    <mergeCell ref="K11:L11"/>
    <mergeCell ref="B10:B11"/>
    <mergeCell ref="C10:D11"/>
    <mergeCell ref="E10:F11"/>
    <mergeCell ref="G10:L10"/>
    <mergeCell ref="U134:X134"/>
    <mergeCell ref="G135:H135"/>
    <mergeCell ref="S135:T135"/>
    <mergeCell ref="U135:V135"/>
    <mergeCell ref="W135:X135"/>
    <mergeCell ref="Q135:R135"/>
    <mergeCell ref="G134:L134"/>
    <mergeCell ref="M134:N135"/>
    <mergeCell ref="B138:D138"/>
    <mergeCell ref="B137:D137"/>
    <mergeCell ref="I135:J135"/>
    <mergeCell ref="K135:L135"/>
    <mergeCell ref="O135:P135"/>
    <mergeCell ref="O134:T134"/>
    <mergeCell ref="B134:D136"/>
    <mergeCell ref="E134:F135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2018-02-13T13:42:15Z</cp:lastPrinted>
  <dcterms:created xsi:type="dcterms:W3CDTF">2018-02-15T10:39:40Z</dcterms:created>
  <dcterms:modified xsi:type="dcterms:W3CDTF">2018-02-15T10:39:40Z</dcterms:modified>
  <cp:category/>
  <cp:version/>
  <cp:contentType/>
  <cp:contentStatus/>
</cp:coreProperties>
</file>